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codeName="ThisWorkbook"/>
  <mc:AlternateContent xmlns:mc="http://schemas.openxmlformats.org/markup-compatibility/2006">
    <mc:Choice Requires="x15">
      <x15ac:absPath xmlns:x15ac="http://schemas.microsoft.com/office/spreadsheetml/2010/11/ac" url="C:\Users\vgilzean\Downloads\"/>
    </mc:Choice>
  </mc:AlternateContent>
  <xr:revisionPtr revIDLastSave="0" documentId="13_ncr:1_{40C921F3-118E-45AB-A28D-522FCFEC5F95}" xr6:coauthVersionLast="47" xr6:coauthVersionMax="47" xr10:uidLastSave="{00000000-0000-0000-0000-000000000000}"/>
  <workbookProtection workbookAlgorithmName="SHA-512" workbookHashValue="MZ57VP07CWY02Tn8NPYPB1lp0DpN30SaOvg1iXYBzesoDtIsbpxejj3m5O7W+Y7s2yFD6VVcw5hMvuIiVg00qA==" workbookSaltValue="nvYoVIOrROpRW1f7SoVOcw==" workbookSpinCount="100000" lockStructure="1"/>
  <bookViews>
    <workbookView xWindow="-120" yWindow="-120" windowWidth="29040" windowHeight="15840" xr2:uid="{00000000-000D-0000-FFFF-FFFF00000000}"/>
  </bookViews>
  <sheets>
    <sheet name="Span Table " sheetId="5" r:id="rId1"/>
    <sheet name="Design Loads" sheetId="2" state="hidden" r:id="rId2"/>
    <sheet name="Blade" sheetId="1" state="hidden" r:id="rId3"/>
    <sheet name="2&quot; x 8&quot; Beams" sheetId="3" state="hidden" r:id="rId4"/>
    <sheet name="2&quot; x 10&quot; Beams" sheetId="4" state="hidden" r:id="rId5"/>
  </sheets>
  <definedNames>
    <definedName name="_xlnm._FilterDatabase" localSheetId="3" hidden="1">'2" x 8" Beams'!$C$26:$K$60</definedName>
    <definedName name="DL">'Design Loads'!$P$52</definedName>
    <definedName name="LL">'Design Loads'!$P$55</definedName>
    <definedName name="_xlnm.Print_Area" localSheetId="2">Blade!$A$1:$L$45</definedName>
    <definedName name="_xlnm.Print_Area" localSheetId="1">'Design Loads'!$A$1:$L$133</definedName>
    <definedName name="_xlnm.Print_Area" localSheetId="0">'Span Table '!$C$1:$P$17</definedName>
    <definedName name="SL">'Design Loads'!$P$54</definedName>
    <definedName name="TextBox1">'Span Table '!$X$28</definedName>
    <definedName name="TextBox2">'Span Table '!$X$29</definedName>
    <definedName name="WL">'Design Loads'!$P$53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7" i="5" l="1"/>
  <c r="X29" i="5" s="1"/>
  <c r="X28" i="5" l="1"/>
  <c r="X33" i="5"/>
  <c r="X34" i="5"/>
  <c r="Z34" i="5" l="1"/>
  <c r="X38" i="5" s="1"/>
  <c r="AB37" i="5" s="1"/>
  <c r="AB38" i="5" s="1"/>
  <c r="Z33" i="5"/>
  <c r="W43" i="5" s="1"/>
  <c r="W44" i="5" s="1"/>
  <c r="AA38" i="5" l="1"/>
  <c r="AA40" i="5" s="1"/>
  <c r="X40" i="5"/>
  <c r="X43" i="5" s="1"/>
  <c r="X46" i="5" s="1"/>
  <c r="X49" i="5" s="1"/>
  <c r="X52" i="5" s="1"/>
  <c r="X55" i="5" s="1"/>
  <c r="X58" i="5" s="1"/>
  <c r="X61" i="5" s="1"/>
  <c r="X64" i="5" s="1"/>
  <c r="X67" i="5" s="1"/>
  <c r="W46" i="5"/>
  <c r="W49" i="5" s="1"/>
  <c r="W40" i="5"/>
  <c r="W41" i="5" s="1"/>
  <c r="W50" i="5" l="1"/>
  <c r="W52" i="5"/>
  <c r="W47" i="5"/>
  <c r="F16" i="5"/>
  <c r="P54" i="2"/>
  <c r="P19" i="5" s="1"/>
  <c r="F14" i="5"/>
  <c r="W53" i="5" l="1"/>
  <c r="W55" i="5"/>
  <c r="P53" i="2"/>
  <c r="W56" i="5" l="1"/>
  <c r="W58" i="5"/>
  <c r="N67" i="3"/>
  <c r="B141" i="4"/>
  <c r="B140" i="4" s="1"/>
  <c r="B139" i="4" s="1"/>
  <c r="B138" i="4" s="1"/>
  <c r="B137" i="4" s="1"/>
  <c r="B136" i="4" s="1"/>
  <c r="B135" i="4" s="1"/>
  <c r="B134" i="4" s="1"/>
  <c r="B133" i="4" s="1"/>
  <c r="B132" i="4" s="1"/>
  <c r="B131" i="4" s="1"/>
  <c r="B130" i="4" s="1"/>
  <c r="B129" i="4" s="1"/>
  <c r="B128" i="4" s="1"/>
  <c r="B127" i="4" s="1"/>
  <c r="B126" i="4" s="1"/>
  <c r="B125" i="4" s="1"/>
  <c r="B124" i="4" s="1"/>
  <c r="B123" i="4" s="1"/>
  <c r="B122" i="4" s="1"/>
  <c r="B121" i="4" s="1"/>
  <c r="B120" i="4" s="1"/>
  <c r="B119" i="4" s="1"/>
  <c r="B118" i="4" s="1"/>
  <c r="B117" i="4" s="1"/>
  <c r="B116" i="4" s="1"/>
  <c r="B115" i="4" s="1"/>
  <c r="B114" i="4" s="1"/>
  <c r="B113" i="4" s="1"/>
  <c r="B112" i="4" s="1"/>
  <c r="B111" i="4" s="1"/>
  <c r="B110" i="4" s="1"/>
  <c r="B109" i="4" s="1"/>
  <c r="B108" i="4" s="1"/>
  <c r="B100" i="4"/>
  <c r="B99" i="4" s="1"/>
  <c r="B98" i="4" s="1"/>
  <c r="B97" i="4" s="1"/>
  <c r="B96" i="4" s="1"/>
  <c r="B95" i="4" s="1"/>
  <c r="B94" i="4" s="1"/>
  <c r="B93" i="4" s="1"/>
  <c r="B92" i="4" s="1"/>
  <c r="B91" i="4" s="1"/>
  <c r="B90" i="4" s="1"/>
  <c r="B89" i="4" s="1"/>
  <c r="B88" i="4" s="1"/>
  <c r="B87" i="4" s="1"/>
  <c r="B86" i="4" s="1"/>
  <c r="B85" i="4" s="1"/>
  <c r="B84" i="4" s="1"/>
  <c r="B83" i="4" s="1"/>
  <c r="B82" i="4" s="1"/>
  <c r="B81" i="4" s="1"/>
  <c r="B80" i="4" s="1"/>
  <c r="B79" i="4" s="1"/>
  <c r="B78" i="4" s="1"/>
  <c r="B77" i="4" s="1"/>
  <c r="B76" i="4" s="1"/>
  <c r="B75" i="4" s="1"/>
  <c r="B74" i="4" s="1"/>
  <c r="B73" i="4" s="1"/>
  <c r="B72" i="4" s="1"/>
  <c r="B71" i="4" s="1"/>
  <c r="B70" i="4" s="1"/>
  <c r="B69" i="4" s="1"/>
  <c r="B68" i="4" s="1"/>
  <c r="B67" i="4" s="1"/>
  <c r="B59" i="4"/>
  <c r="B58" i="4" s="1"/>
  <c r="B57" i="4" s="1"/>
  <c r="B56" i="4" s="1"/>
  <c r="B55" i="4" s="1"/>
  <c r="B54" i="4" s="1"/>
  <c r="B53" i="4" s="1"/>
  <c r="B52" i="4" s="1"/>
  <c r="B51" i="4" s="1"/>
  <c r="B50" i="4" s="1"/>
  <c r="B49" i="4" s="1"/>
  <c r="B48" i="4" s="1"/>
  <c r="B47" i="4" s="1"/>
  <c r="B46" i="4" s="1"/>
  <c r="B45" i="4" s="1"/>
  <c r="B44" i="4" s="1"/>
  <c r="B43" i="4" s="1"/>
  <c r="B42" i="4" s="1"/>
  <c r="B41" i="4" s="1"/>
  <c r="B40" i="4" s="1"/>
  <c r="B39" i="4" s="1"/>
  <c r="B38" i="4" s="1"/>
  <c r="B37" i="4" s="1"/>
  <c r="B36" i="4" s="1"/>
  <c r="B35" i="4" s="1"/>
  <c r="B34" i="4" s="1"/>
  <c r="B33" i="4" s="1"/>
  <c r="B32" i="4" s="1"/>
  <c r="B31" i="4" s="1"/>
  <c r="B30" i="4" s="1"/>
  <c r="B29" i="4" s="1"/>
  <c r="B28" i="4" s="1"/>
  <c r="B27" i="4" s="1"/>
  <c r="B26" i="4" s="1"/>
  <c r="W59" i="5" l="1"/>
  <c r="W61" i="5"/>
  <c r="W76" i="4"/>
  <c r="R64" i="4"/>
  <c r="Q64" i="4"/>
  <c r="O64" i="4"/>
  <c r="N64" i="4"/>
  <c r="X66" i="4"/>
  <c r="X65" i="4"/>
  <c r="W79" i="3"/>
  <c r="W62" i="5" l="1"/>
  <c r="W64" i="5"/>
  <c r="K103" i="4"/>
  <c r="W63" i="4"/>
  <c r="W62" i="4"/>
  <c r="W64" i="4"/>
  <c r="B109" i="3"/>
  <c r="B27" i="3"/>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110" i="3" l="1"/>
  <c r="W65" i="5"/>
  <c r="W67" i="5"/>
  <c r="W68" i="5" s="1"/>
  <c r="N24" i="4"/>
  <c r="N80" i="4"/>
  <c r="C66" i="4" s="1"/>
  <c r="B100" i="3"/>
  <c r="B99" i="3" s="1"/>
  <c r="B98" i="3" s="1"/>
  <c r="B97" i="3" s="1"/>
  <c r="B96" i="3" s="1"/>
  <c r="B95" i="3" s="1"/>
  <c r="B94" i="3" s="1"/>
  <c r="B93" i="3" s="1"/>
  <c r="B92" i="3" s="1"/>
  <c r="B91" i="3" s="1"/>
  <c r="B90" i="3" s="1"/>
  <c r="B89" i="3" s="1"/>
  <c r="B88" i="3" s="1"/>
  <c r="B87" i="3" s="1"/>
  <c r="B86" i="3" s="1"/>
  <c r="B85" i="3" s="1"/>
  <c r="B84" i="3" s="1"/>
  <c r="B83" i="3" s="1"/>
  <c r="B82" i="3" s="1"/>
  <c r="B81" i="3" s="1"/>
  <c r="B80" i="3" s="1"/>
  <c r="B79" i="3" s="1"/>
  <c r="B78" i="3" s="1"/>
  <c r="B77" i="3" s="1"/>
  <c r="B76" i="3" s="1"/>
  <c r="B75" i="3" s="1"/>
  <c r="B74" i="3" s="1"/>
  <c r="B73" i="3" s="1"/>
  <c r="B72" i="3" s="1"/>
  <c r="B71" i="3" s="1"/>
  <c r="B70" i="3" s="1"/>
  <c r="B69" i="3" s="1"/>
  <c r="B68" i="3" s="1"/>
  <c r="B67" i="3" s="1"/>
  <c r="B111" i="3" l="1"/>
  <c r="C72" i="4"/>
  <c r="C80" i="4"/>
  <c r="C88" i="4"/>
  <c r="C96" i="4"/>
  <c r="C73" i="4"/>
  <c r="C81" i="4"/>
  <c r="C89" i="4"/>
  <c r="C97" i="4"/>
  <c r="C74" i="4"/>
  <c r="C82" i="4"/>
  <c r="C90" i="4"/>
  <c r="C98" i="4"/>
  <c r="C75" i="4"/>
  <c r="C83" i="4"/>
  <c r="C91" i="4"/>
  <c r="C99" i="4"/>
  <c r="C76" i="4"/>
  <c r="C92" i="4"/>
  <c r="C69" i="4"/>
  <c r="C77" i="4"/>
  <c r="C85" i="4"/>
  <c r="C93" i="4"/>
  <c r="C101" i="4"/>
  <c r="C70" i="4"/>
  <c r="C78" i="4"/>
  <c r="C86" i="4"/>
  <c r="C94" i="4"/>
  <c r="C67" i="4"/>
  <c r="C71" i="4"/>
  <c r="C79" i="4"/>
  <c r="C87" i="4"/>
  <c r="C95" i="4"/>
  <c r="D66" i="4"/>
  <c r="E66" i="4" s="1"/>
  <c r="F66" i="4" s="1"/>
  <c r="G66" i="4" s="1"/>
  <c r="H66" i="4" s="1"/>
  <c r="I66" i="4" s="1"/>
  <c r="J66" i="4" s="1"/>
  <c r="K66" i="4" s="1"/>
  <c r="C68" i="4"/>
  <c r="C84" i="4"/>
  <c r="C100" i="4"/>
  <c r="W69" i="4"/>
  <c r="C25" i="4"/>
  <c r="N105" i="4"/>
  <c r="R67" i="3"/>
  <c r="Q67" i="3"/>
  <c r="W67" i="3" s="1"/>
  <c r="O67" i="3"/>
  <c r="J103" i="3" s="1"/>
  <c r="B112" i="3" l="1"/>
  <c r="C107" i="4"/>
  <c r="Q24" i="4"/>
  <c r="C36" i="4"/>
  <c r="C44" i="4"/>
  <c r="C52" i="4"/>
  <c r="C33" i="4"/>
  <c r="C28" i="4"/>
  <c r="C37" i="4"/>
  <c r="C45" i="4"/>
  <c r="C53" i="4"/>
  <c r="C34" i="4"/>
  <c r="C26" i="4"/>
  <c r="C38" i="4"/>
  <c r="C46" i="4"/>
  <c r="C54" i="4"/>
  <c r="C35" i="4"/>
  <c r="C39" i="4"/>
  <c r="C47" i="4"/>
  <c r="C55" i="4"/>
  <c r="C29" i="4"/>
  <c r="D25" i="4"/>
  <c r="E25" i="4" s="1"/>
  <c r="F25" i="4" s="1"/>
  <c r="G25" i="4" s="1"/>
  <c r="H25" i="4" s="1"/>
  <c r="I25" i="4" s="1"/>
  <c r="J25" i="4" s="1"/>
  <c r="K25" i="4" s="1"/>
  <c r="C40" i="4"/>
  <c r="C56" i="4"/>
  <c r="C41" i="4"/>
  <c r="C49" i="4"/>
  <c r="C57" i="4"/>
  <c r="C31" i="4"/>
  <c r="C42" i="4"/>
  <c r="C50" i="4"/>
  <c r="C58" i="4"/>
  <c r="C32" i="4"/>
  <c r="C60" i="4"/>
  <c r="C43" i="4"/>
  <c r="C51" i="4"/>
  <c r="C59" i="4"/>
  <c r="C27" i="4"/>
  <c r="C48" i="4"/>
  <c r="C30" i="4"/>
  <c r="N27" i="3"/>
  <c r="N108" i="3" s="1"/>
  <c r="N83" i="3"/>
  <c r="L109" i="3"/>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L134" i="3" s="1"/>
  <c r="L135" i="3" s="1"/>
  <c r="L136" i="3" s="1"/>
  <c r="L137" i="3" s="1"/>
  <c r="L138" i="3" s="1"/>
  <c r="L139" i="3" s="1"/>
  <c r="L140" i="3" s="1"/>
  <c r="L141" i="3" s="1"/>
  <c r="L142" i="3" s="1"/>
  <c r="L27" i="3"/>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8" i="3"/>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C109" i="4" l="1"/>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08" i="4"/>
  <c r="B113" i="3"/>
  <c r="C107" i="3"/>
  <c r="D107" i="4"/>
  <c r="Q105" i="4"/>
  <c r="C25" i="3"/>
  <c r="C26" i="3" s="1"/>
  <c r="L98" i="3"/>
  <c r="L99" i="3" s="1"/>
  <c r="L100" i="3" s="1"/>
  <c r="L101" i="3" s="1"/>
  <c r="Q108" i="3" l="1"/>
  <c r="C108" i="3"/>
  <c r="C109" i="3"/>
  <c r="C110" i="3"/>
  <c r="C111" i="3"/>
  <c r="E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C112" i="3"/>
  <c r="B114" i="3"/>
  <c r="C113" i="3"/>
  <c r="D107" i="3"/>
  <c r="Q27" i="3"/>
  <c r="D25" i="3"/>
  <c r="E25" i="3" s="1"/>
  <c r="F25" i="3" s="1"/>
  <c r="G25" i="3" s="1"/>
  <c r="H25" i="3" s="1"/>
  <c r="I25" i="3" s="1"/>
  <c r="J25" i="3" s="1"/>
  <c r="K25" i="3" s="1"/>
  <c r="X69" i="3"/>
  <c r="X68" i="3"/>
  <c r="W66" i="3"/>
  <c r="W65" i="3"/>
  <c r="E107" i="3" l="1"/>
  <c r="E114" i="3" s="1"/>
  <c r="D108" i="3"/>
  <c r="D109" i="3"/>
  <c r="D110" i="3"/>
  <c r="D111" i="3"/>
  <c r="D112" i="3"/>
  <c r="D113" i="3"/>
  <c r="F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B115" i="3"/>
  <c r="C114" i="3"/>
  <c r="D114" i="3"/>
  <c r="C66" i="3"/>
  <c r="Q83" i="3" s="1"/>
  <c r="Y72" i="3"/>
  <c r="F15" i="5"/>
  <c r="S31" i="2" s="1"/>
  <c r="U23" i="2"/>
  <c r="P36" i="5"/>
  <c r="O28" i="2"/>
  <c r="G107" i="4" l="1"/>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07" i="3"/>
  <c r="F115" i="3" s="1"/>
  <c r="E108" i="3"/>
  <c r="E109" i="3"/>
  <c r="E110" i="3"/>
  <c r="E111" i="3"/>
  <c r="E112" i="3"/>
  <c r="E113" i="3"/>
  <c r="B116" i="3"/>
  <c r="D115" i="3"/>
  <c r="C115" i="3"/>
  <c r="E115" i="3"/>
  <c r="S28" i="2"/>
  <c r="C67" i="3"/>
  <c r="D66" i="3"/>
  <c r="E66" i="3" s="1"/>
  <c r="F66" i="3" s="1"/>
  <c r="G66" i="3" s="1"/>
  <c r="H66" i="3" s="1"/>
  <c r="I66" i="3" s="1"/>
  <c r="J66" i="3" s="1"/>
  <c r="K66" i="3" s="1"/>
  <c r="G107" i="3" l="1"/>
  <c r="G116" i="3" s="1"/>
  <c r="F108" i="3"/>
  <c r="F109" i="3"/>
  <c r="F110" i="3"/>
  <c r="F111" i="3"/>
  <c r="F112" i="3"/>
  <c r="F113" i="3"/>
  <c r="F114" i="3"/>
  <c r="H107"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08" i="4"/>
  <c r="B117" i="3"/>
  <c r="C116" i="3"/>
  <c r="D116" i="3"/>
  <c r="E116" i="3"/>
  <c r="F116" i="3"/>
  <c r="T29" i="2"/>
  <c r="P52" i="2"/>
  <c r="Q57" i="2" s="1"/>
  <c r="C36" i="2"/>
  <c r="I107" i="4" l="1"/>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07" i="3"/>
  <c r="H117" i="3" s="1"/>
  <c r="G108" i="3"/>
  <c r="G109" i="3"/>
  <c r="G110" i="3"/>
  <c r="G111" i="3"/>
  <c r="G112" i="3"/>
  <c r="G113" i="3"/>
  <c r="G114" i="3"/>
  <c r="G115" i="3"/>
  <c r="B118" i="3"/>
  <c r="F117" i="3"/>
  <c r="E117" i="3"/>
  <c r="G117" i="3"/>
  <c r="C117" i="3"/>
  <c r="D117" i="3"/>
  <c r="J10" i="1"/>
  <c r="K14" i="5" s="1"/>
  <c r="Q7" i="1"/>
  <c r="Q16" i="1"/>
  <c r="C16" i="1" s="1"/>
  <c r="O16" i="1"/>
  <c r="I107" i="3" l="1"/>
  <c r="H108" i="3"/>
  <c r="H109" i="3"/>
  <c r="H110" i="3"/>
  <c r="H111" i="3"/>
  <c r="H112" i="3"/>
  <c r="H113" i="3"/>
  <c r="H114" i="3"/>
  <c r="H115" i="3"/>
  <c r="H116" i="3"/>
  <c r="J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B119" i="3"/>
  <c r="E118" i="3"/>
  <c r="I118" i="3"/>
  <c r="G118" i="3"/>
  <c r="C118" i="3"/>
  <c r="H118" i="3"/>
  <c r="D118" i="3"/>
  <c r="F118" i="3"/>
  <c r="AB45" i="5"/>
  <c r="I16" i="1"/>
  <c r="K16" i="1" s="1"/>
  <c r="E16" i="1"/>
  <c r="D16" i="1"/>
  <c r="F16" i="1"/>
  <c r="G16" i="1"/>
  <c r="H16" i="1"/>
  <c r="K107" i="4" l="1"/>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07" i="3"/>
  <c r="J119" i="3" s="1"/>
  <c r="I108" i="3"/>
  <c r="I109" i="3"/>
  <c r="I110" i="3"/>
  <c r="I111" i="3"/>
  <c r="I112" i="3"/>
  <c r="I113" i="3"/>
  <c r="I114" i="3"/>
  <c r="I115" i="3"/>
  <c r="I116" i="3"/>
  <c r="I117" i="3"/>
  <c r="B120" i="3"/>
  <c r="D119" i="3"/>
  <c r="H119" i="3"/>
  <c r="C119" i="3"/>
  <c r="I119" i="3"/>
  <c r="E119" i="3"/>
  <c r="F119" i="3"/>
  <c r="G119" i="3"/>
  <c r="J16" i="1"/>
  <c r="K107" i="3" l="1"/>
  <c r="K120" i="3" s="1"/>
  <c r="J108" i="3"/>
  <c r="J109" i="3"/>
  <c r="J110" i="3"/>
  <c r="J111" i="3"/>
  <c r="J112" i="3"/>
  <c r="J113" i="3"/>
  <c r="J114" i="3"/>
  <c r="J115" i="3"/>
  <c r="J116" i="3"/>
  <c r="J117" i="3"/>
  <c r="J118" i="3"/>
  <c r="B121" i="3"/>
  <c r="C120" i="3"/>
  <c r="G120" i="3"/>
  <c r="E120" i="3"/>
  <c r="J120" i="3"/>
  <c r="F120" i="3"/>
  <c r="H120" i="3"/>
  <c r="D120" i="3"/>
  <c r="I120" i="3"/>
  <c r="D60" i="2"/>
  <c r="E70" i="2" s="1"/>
  <c r="K108" i="3" l="1"/>
  <c r="K109" i="3"/>
  <c r="K110" i="3"/>
  <c r="K111" i="3"/>
  <c r="K112" i="3"/>
  <c r="K113" i="3"/>
  <c r="K114" i="3"/>
  <c r="K115" i="3"/>
  <c r="K116" i="3"/>
  <c r="K117" i="3"/>
  <c r="K118" i="3"/>
  <c r="K119" i="3"/>
  <c r="B122" i="3"/>
  <c r="F121" i="3"/>
  <c r="J121" i="3"/>
  <c r="G121" i="3"/>
  <c r="C121" i="3"/>
  <c r="H121" i="3"/>
  <c r="D121" i="3"/>
  <c r="I121" i="3"/>
  <c r="E121" i="3"/>
  <c r="K121" i="3"/>
  <c r="K40" i="2"/>
  <c r="J40" i="2"/>
  <c r="I40" i="2"/>
  <c r="H40" i="2"/>
  <c r="G40" i="2"/>
  <c r="F40" i="2"/>
  <c r="E40" i="2"/>
  <c r="D40" i="2"/>
  <c r="C40" i="2"/>
  <c r="C39" i="2"/>
  <c r="B123" i="3" l="1"/>
  <c r="E122" i="3"/>
  <c r="I122" i="3"/>
  <c r="C122" i="3"/>
  <c r="H122" i="3"/>
  <c r="D122" i="3"/>
  <c r="J122" i="3"/>
  <c r="F122" i="3"/>
  <c r="K122" i="3"/>
  <c r="G122" i="3"/>
  <c r="D27" i="4"/>
  <c r="D98" i="3"/>
  <c r="D99" i="3"/>
  <c r="D67" i="3"/>
  <c r="E73" i="2"/>
  <c r="D29" i="4"/>
  <c r="D68" i="4"/>
  <c r="D67" i="4"/>
  <c r="D30" i="4"/>
  <c r="D28" i="4"/>
  <c r="D26" i="4"/>
  <c r="N17" i="1"/>
  <c r="B17" i="1"/>
  <c r="B18" i="1" s="1"/>
  <c r="K60" i="2"/>
  <c r="J60" i="2"/>
  <c r="K70" i="2" s="1"/>
  <c r="I60" i="2"/>
  <c r="J70" i="2" s="1"/>
  <c r="H60" i="2"/>
  <c r="I70" i="2" s="1"/>
  <c r="G60" i="2"/>
  <c r="H70" i="2" s="1"/>
  <c r="F60" i="2"/>
  <c r="G70" i="2" s="1"/>
  <c r="E60" i="2"/>
  <c r="F70" i="2" s="1"/>
  <c r="C60" i="2"/>
  <c r="D70" i="2" s="1"/>
  <c r="B60" i="2"/>
  <c r="C70" i="2" s="1"/>
  <c r="K39" i="2"/>
  <c r="N38" i="2" s="1"/>
  <c r="J39" i="2"/>
  <c r="I39" i="2"/>
  <c r="H39" i="2"/>
  <c r="G39" i="2"/>
  <c r="F39" i="2"/>
  <c r="E39" i="2"/>
  <c r="D39" i="2"/>
  <c r="K38" i="2"/>
  <c r="J38" i="2"/>
  <c r="I38" i="2"/>
  <c r="H38" i="2"/>
  <c r="G38" i="2"/>
  <c r="F38" i="2"/>
  <c r="E38" i="2"/>
  <c r="D38" i="2"/>
  <c r="K37" i="2"/>
  <c r="J37" i="2"/>
  <c r="I37" i="2"/>
  <c r="H37" i="2"/>
  <c r="G37" i="2"/>
  <c r="F37" i="2"/>
  <c r="E37" i="2"/>
  <c r="D37" i="2"/>
  <c r="K36" i="2"/>
  <c r="J36" i="2"/>
  <c r="I36" i="2"/>
  <c r="H36" i="2"/>
  <c r="G36" i="2"/>
  <c r="F36" i="2"/>
  <c r="E36" i="2"/>
  <c r="D36" i="2"/>
  <c r="K35" i="2"/>
  <c r="J35" i="2"/>
  <c r="I35" i="2"/>
  <c r="H35" i="2"/>
  <c r="G35" i="2"/>
  <c r="F35" i="2"/>
  <c r="E35" i="2"/>
  <c r="D35" i="2"/>
  <c r="K34" i="2"/>
  <c r="J34" i="2"/>
  <c r="I34" i="2"/>
  <c r="H34" i="2"/>
  <c r="G34" i="2"/>
  <c r="F34" i="2"/>
  <c r="E34" i="2"/>
  <c r="D34" i="2"/>
  <c r="K33" i="2"/>
  <c r="J33" i="2"/>
  <c r="I33" i="2"/>
  <c r="H33" i="2"/>
  <c r="G33" i="2"/>
  <c r="F33" i="2"/>
  <c r="E33" i="2"/>
  <c r="D33" i="2"/>
  <c r="K32" i="2"/>
  <c r="J32" i="2"/>
  <c r="I32" i="2"/>
  <c r="H32" i="2"/>
  <c r="G32" i="2"/>
  <c r="F32" i="2"/>
  <c r="E32" i="2"/>
  <c r="D32" i="2"/>
  <c r="C38" i="2"/>
  <c r="C37" i="2"/>
  <c r="C35" i="2"/>
  <c r="C34" i="2"/>
  <c r="C33" i="2"/>
  <c r="C32" i="2"/>
  <c r="B124" i="3" l="1"/>
  <c r="D123" i="3"/>
  <c r="H123" i="3"/>
  <c r="E123" i="3"/>
  <c r="J123" i="3"/>
  <c r="F123" i="3"/>
  <c r="K123" i="3"/>
  <c r="G123" i="3"/>
  <c r="I123" i="3"/>
  <c r="C123" i="3"/>
  <c r="E98" i="3"/>
  <c r="E99" i="3"/>
  <c r="N110" i="3"/>
  <c r="E67" i="3"/>
  <c r="H73" i="2"/>
  <c r="F73" i="2"/>
  <c r="K73" i="2"/>
  <c r="B19" i="1"/>
  <c r="B20" i="1" s="1"/>
  <c r="P18" i="5"/>
  <c r="E130" i="2"/>
  <c r="I130" i="2"/>
  <c r="F130" i="2"/>
  <c r="J130" i="2"/>
  <c r="G130" i="2"/>
  <c r="K130" i="2"/>
  <c r="D130" i="2"/>
  <c r="H130" i="2"/>
  <c r="G73" i="2"/>
  <c r="I73" i="2"/>
  <c r="D97" i="2"/>
  <c r="H97" i="2"/>
  <c r="F97" i="2"/>
  <c r="G97" i="2"/>
  <c r="E97" i="2"/>
  <c r="I97" i="2"/>
  <c r="J97" i="2"/>
  <c r="K97" i="2"/>
  <c r="D98" i="2"/>
  <c r="H98" i="2"/>
  <c r="G98" i="2"/>
  <c r="K98" i="2"/>
  <c r="E98" i="2"/>
  <c r="I98" i="2"/>
  <c r="F98" i="2"/>
  <c r="J98" i="2"/>
  <c r="E103" i="2"/>
  <c r="I103" i="2"/>
  <c r="F103" i="2"/>
  <c r="J103" i="2"/>
  <c r="G103" i="2"/>
  <c r="K103" i="2"/>
  <c r="D103" i="2"/>
  <c r="H103" i="2"/>
  <c r="E104" i="2"/>
  <c r="I104" i="2"/>
  <c r="F104" i="2"/>
  <c r="J104" i="2"/>
  <c r="G104" i="2"/>
  <c r="K104" i="2"/>
  <c r="D104" i="2"/>
  <c r="H104" i="2"/>
  <c r="K66" i="2"/>
  <c r="C66" i="2"/>
  <c r="E66" i="2"/>
  <c r="I66" i="2"/>
  <c r="F66" i="2"/>
  <c r="D66" i="2"/>
  <c r="J66" i="2"/>
  <c r="G66" i="2"/>
  <c r="H66" i="2"/>
  <c r="E110" i="2"/>
  <c r="I110" i="2"/>
  <c r="F110" i="2"/>
  <c r="J110" i="2"/>
  <c r="G110" i="2"/>
  <c r="K110" i="2"/>
  <c r="D110" i="2"/>
  <c r="H110" i="2"/>
  <c r="E111" i="2"/>
  <c r="I111" i="2"/>
  <c r="F111" i="2"/>
  <c r="J111" i="2"/>
  <c r="G111" i="2"/>
  <c r="K111" i="2"/>
  <c r="D111" i="2"/>
  <c r="H111" i="2"/>
  <c r="E116" i="2"/>
  <c r="I116" i="2"/>
  <c r="F116" i="2"/>
  <c r="J116" i="2"/>
  <c r="G116" i="2"/>
  <c r="K116" i="2"/>
  <c r="D116" i="2"/>
  <c r="H116" i="2"/>
  <c r="E117" i="2"/>
  <c r="I117" i="2"/>
  <c r="F117" i="2"/>
  <c r="J117" i="2"/>
  <c r="G117" i="2"/>
  <c r="K117" i="2"/>
  <c r="D117" i="2"/>
  <c r="H117" i="2"/>
  <c r="D73" i="2"/>
  <c r="E67" i="2"/>
  <c r="I67" i="2"/>
  <c r="J67" i="2"/>
  <c r="K67" i="2"/>
  <c r="D67" i="2"/>
  <c r="F67" i="2"/>
  <c r="G67" i="2"/>
  <c r="H67" i="2"/>
  <c r="E72" i="2"/>
  <c r="I72" i="2"/>
  <c r="K72" i="2"/>
  <c r="D72" i="2"/>
  <c r="F72" i="2"/>
  <c r="J72" i="2"/>
  <c r="G72" i="2"/>
  <c r="H72" i="2"/>
  <c r="E123" i="2"/>
  <c r="I123" i="2"/>
  <c r="F123" i="2"/>
  <c r="J123" i="2"/>
  <c r="G123" i="2"/>
  <c r="K123" i="2"/>
  <c r="D123" i="2"/>
  <c r="H123" i="2"/>
  <c r="E124" i="2"/>
  <c r="I124" i="2"/>
  <c r="F124" i="2"/>
  <c r="J124" i="2"/>
  <c r="G124" i="2"/>
  <c r="K124" i="2"/>
  <c r="D124" i="2"/>
  <c r="H124" i="2"/>
  <c r="E129" i="2"/>
  <c r="I129" i="2"/>
  <c r="F129" i="2"/>
  <c r="J129" i="2"/>
  <c r="G129" i="2"/>
  <c r="K129" i="2"/>
  <c r="D129" i="2"/>
  <c r="H129" i="2"/>
  <c r="D79" i="2"/>
  <c r="H79" i="2"/>
  <c r="K79" i="2"/>
  <c r="E79" i="2"/>
  <c r="I79" i="2"/>
  <c r="F79" i="2"/>
  <c r="J79" i="2"/>
  <c r="G79" i="2"/>
  <c r="D80" i="2"/>
  <c r="H80" i="2"/>
  <c r="F80" i="2"/>
  <c r="G80" i="2"/>
  <c r="E80" i="2"/>
  <c r="I80" i="2"/>
  <c r="J80" i="2"/>
  <c r="K80" i="2"/>
  <c r="E85" i="2"/>
  <c r="I85" i="2"/>
  <c r="K85" i="2"/>
  <c r="H85" i="2"/>
  <c r="F85" i="2"/>
  <c r="J85" i="2"/>
  <c r="G85" i="2"/>
  <c r="D85" i="2"/>
  <c r="D86" i="2"/>
  <c r="E86" i="2"/>
  <c r="I86" i="2"/>
  <c r="K86" i="2"/>
  <c r="H86" i="2"/>
  <c r="F86" i="2"/>
  <c r="J86" i="2"/>
  <c r="G86" i="2"/>
  <c r="N18" i="1"/>
  <c r="Q17" i="1"/>
  <c r="C17" i="1" s="1"/>
  <c r="O17" i="1"/>
  <c r="D70" i="4"/>
  <c r="D69" i="4"/>
  <c r="J73" i="2"/>
  <c r="D100" i="2"/>
  <c r="H100" i="2"/>
  <c r="K100" i="2"/>
  <c r="E100" i="2"/>
  <c r="I100" i="2"/>
  <c r="G100" i="2"/>
  <c r="F100" i="2"/>
  <c r="J100" i="2"/>
  <c r="D113" i="2"/>
  <c r="H113" i="2"/>
  <c r="E113" i="2"/>
  <c r="I113" i="2"/>
  <c r="K113" i="2"/>
  <c r="F113" i="2"/>
  <c r="J113" i="2"/>
  <c r="G113" i="2"/>
  <c r="D126" i="2"/>
  <c r="H126" i="2"/>
  <c r="E126" i="2"/>
  <c r="I126" i="2"/>
  <c r="G126" i="2"/>
  <c r="F126" i="2"/>
  <c r="J126" i="2"/>
  <c r="K126" i="2"/>
  <c r="F69" i="2"/>
  <c r="H69" i="2"/>
  <c r="E69" i="2"/>
  <c r="K69" i="2"/>
  <c r="J69" i="2"/>
  <c r="G69" i="2"/>
  <c r="I69" i="2"/>
  <c r="D69" i="2"/>
  <c r="D82" i="2"/>
  <c r="H82" i="2"/>
  <c r="E82" i="2"/>
  <c r="I82" i="2"/>
  <c r="G82" i="2"/>
  <c r="F82" i="2"/>
  <c r="J82" i="2"/>
  <c r="K82" i="2"/>
  <c r="D112" i="2"/>
  <c r="H112" i="2"/>
  <c r="E112" i="2"/>
  <c r="I112" i="2"/>
  <c r="K112" i="2"/>
  <c r="F112" i="2"/>
  <c r="J112" i="2"/>
  <c r="G112" i="2"/>
  <c r="D125" i="2"/>
  <c r="H125" i="2"/>
  <c r="E125" i="2"/>
  <c r="I125" i="2"/>
  <c r="G125" i="2"/>
  <c r="F125" i="2"/>
  <c r="J125" i="2"/>
  <c r="K125" i="2"/>
  <c r="D99" i="2"/>
  <c r="H99" i="2"/>
  <c r="K99" i="2"/>
  <c r="E99" i="2"/>
  <c r="I99" i="2"/>
  <c r="F99" i="2"/>
  <c r="J99" i="2"/>
  <c r="G99" i="2"/>
  <c r="G68" i="2"/>
  <c r="K68" i="2"/>
  <c r="F68" i="2"/>
  <c r="D68" i="2"/>
  <c r="H68" i="2"/>
  <c r="I68" i="2"/>
  <c r="J68" i="2"/>
  <c r="E68" i="2"/>
  <c r="D81" i="2"/>
  <c r="H81" i="2"/>
  <c r="E81" i="2"/>
  <c r="I81" i="2"/>
  <c r="K81" i="2"/>
  <c r="F81" i="2"/>
  <c r="J81" i="2"/>
  <c r="G81" i="2"/>
  <c r="E71" i="2"/>
  <c r="I71" i="2"/>
  <c r="D71" i="2"/>
  <c r="F71" i="2"/>
  <c r="J71" i="2"/>
  <c r="G71" i="2"/>
  <c r="H71" i="2"/>
  <c r="K71" i="2"/>
  <c r="D115" i="2"/>
  <c r="H115" i="2"/>
  <c r="K115" i="2"/>
  <c r="E115" i="2"/>
  <c r="I115" i="2"/>
  <c r="F115" i="2"/>
  <c r="J115" i="2"/>
  <c r="G115" i="2"/>
  <c r="D102" i="2"/>
  <c r="H102" i="2"/>
  <c r="E102" i="2"/>
  <c r="I102" i="2"/>
  <c r="G102" i="2"/>
  <c r="F102" i="2"/>
  <c r="J102" i="2"/>
  <c r="K102" i="2"/>
  <c r="D128" i="2"/>
  <c r="H128" i="2"/>
  <c r="K128" i="2"/>
  <c r="E128" i="2"/>
  <c r="I128" i="2"/>
  <c r="G128" i="2"/>
  <c r="F128" i="2"/>
  <c r="J128" i="2"/>
  <c r="D84" i="2"/>
  <c r="H84" i="2"/>
  <c r="J84" i="2"/>
  <c r="E84" i="2"/>
  <c r="I84" i="2"/>
  <c r="K84" i="2"/>
  <c r="F84" i="2"/>
  <c r="G84" i="2"/>
  <c r="D114" i="2"/>
  <c r="H114" i="2"/>
  <c r="K114" i="2"/>
  <c r="E114" i="2"/>
  <c r="I114" i="2"/>
  <c r="F114" i="2"/>
  <c r="J114" i="2"/>
  <c r="G114" i="2"/>
  <c r="D127" i="2"/>
  <c r="H127" i="2"/>
  <c r="E127" i="2"/>
  <c r="I127" i="2"/>
  <c r="G127" i="2"/>
  <c r="F127" i="2"/>
  <c r="J127" i="2"/>
  <c r="K127" i="2"/>
  <c r="D101" i="2"/>
  <c r="H101" i="2"/>
  <c r="G101" i="2"/>
  <c r="E101" i="2"/>
  <c r="I101" i="2"/>
  <c r="F101" i="2"/>
  <c r="J101" i="2"/>
  <c r="K101" i="2"/>
  <c r="D83" i="2"/>
  <c r="H83" i="2"/>
  <c r="G83" i="2"/>
  <c r="E83" i="2"/>
  <c r="I83" i="2"/>
  <c r="K83" i="2"/>
  <c r="F83" i="2"/>
  <c r="J83" i="2"/>
  <c r="C130" i="2"/>
  <c r="C117" i="2"/>
  <c r="C104" i="2"/>
  <c r="C129" i="2"/>
  <c r="C116" i="2"/>
  <c r="C111" i="2"/>
  <c r="C124" i="2"/>
  <c r="C112" i="2"/>
  <c r="C115" i="2"/>
  <c r="C125" i="2"/>
  <c r="C126" i="2"/>
  <c r="C113" i="2"/>
  <c r="C110" i="2"/>
  <c r="C127" i="2"/>
  <c r="C114" i="2"/>
  <c r="C128" i="2"/>
  <c r="C123" i="2"/>
  <c r="C103" i="2"/>
  <c r="C80" i="2"/>
  <c r="C68" i="2"/>
  <c r="C98" i="2"/>
  <c r="C81" i="2"/>
  <c r="C69" i="2"/>
  <c r="C99" i="2"/>
  <c r="C82" i="2"/>
  <c r="C71" i="2"/>
  <c r="C67" i="2"/>
  <c r="C100" i="2"/>
  <c r="C83" i="2"/>
  <c r="C73" i="2"/>
  <c r="C101" i="2"/>
  <c r="C84" i="2"/>
  <c r="C86" i="2"/>
  <c r="C102" i="2"/>
  <c r="C85" i="2"/>
  <c r="C97" i="2"/>
  <c r="C79" i="2"/>
  <c r="C72" i="2"/>
  <c r="E27" i="4"/>
  <c r="E29" i="4"/>
  <c r="E28" i="4"/>
  <c r="E26" i="4"/>
  <c r="E31" i="4"/>
  <c r="E30" i="4"/>
  <c r="E69" i="4"/>
  <c r="E67" i="4"/>
  <c r="E68" i="4"/>
  <c r="D31" i="4"/>
  <c r="B125" i="3" l="1"/>
  <c r="C124" i="3"/>
  <c r="G124" i="3"/>
  <c r="K124" i="3"/>
  <c r="F124" i="3"/>
  <c r="H124" i="3"/>
  <c r="D124" i="3"/>
  <c r="I124" i="3"/>
  <c r="E124" i="3"/>
  <c r="J124" i="3"/>
  <c r="N82" i="4"/>
  <c r="N84" i="4" s="1"/>
  <c r="N30" i="4" s="1"/>
  <c r="N26" i="4"/>
  <c r="N28" i="4" s="1"/>
  <c r="N29" i="3"/>
  <c r="N85" i="3"/>
  <c r="F99" i="3"/>
  <c r="F98" i="3"/>
  <c r="F67" i="3"/>
  <c r="E70" i="4"/>
  <c r="G17" i="1"/>
  <c r="D17" i="1"/>
  <c r="I17" i="1"/>
  <c r="K17" i="1" s="1"/>
  <c r="H17" i="1"/>
  <c r="F17" i="1"/>
  <c r="E17" i="1"/>
  <c r="N19" i="1"/>
  <c r="O18" i="1"/>
  <c r="Q18" i="1"/>
  <c r="C18" i="1" s="1"/>
  <c r="D71" i="4"/>
  <c r="B21" i="1"/>
  <c r="F33" i="4"/>
  <c r="D32" i="4"/>
  <c r="F31" i="4"/>
  <c r="F29" i="4"/>
  <c r="F27" i="4"/>
  <c r="F28" i="4"/>
  <c r="F26" i="4"/>
  <c r="F30" i="4"/>
  <c r="F32" i="4"/>
  <c r="F68" i="4"/>
  <c r="F70" i="4"/>
  <c r="F69" i="4"/>
  <c r="F67" i="4"/>
  <c r="E32" i="4"/>
  <c r="B126" i="3" l="1"/>
  <c r="F125" i="3"/>
  <c r="J125" i="3"/>
  <c r="C125" i="3"/>
  <c r="H125" i="3"/>
  <c r="D125" i="3"/>
  <c r="I125" i="3"/>
  <c r="E125" i="3"/>
  <c r="K125" i="3"/>
  <c r="G125" i="3"/>
  <c r="N107" i="4"/>
  <c r="N109" i="4" s="1"/>
  <c r="Q26" i="4"/>
  <c r="G98" i="3"/>
  <c r="G99" i="3"/>
  <c r="F71" i="4"/>
  <c r="G67" i="3"/>
  <c r="J17" i="1"/>
  <c r="F72" i="4"/>
  <c r="I18" i="1"/>
  <c r="K18" i="1" s="1"/>
  <c r="H18" i="1"/>
  <c r="G18" i="1"/>
  <c r="F18" i="1"/>
  <c r="E18" i="1"/>
  <c r="D18" i="1"/>
  <c r="N20" i="1"/>
  <c r="Q19" i="1"/>
  <c r="C19" i="1" s="1"/>
  <c r="O19" i="1"/>
  <c r="E71" i="4"/>
  <c r="B22" i="1"/>
  <c r="G30" i="4"/>
  <c r="G29" i="4"/>
  <c r="G32" i="4"/>
  <c r="G31" i="4"/>
  <c r="G33" i="4"/>
  <c r="G28" i="4"/>
  <c r="G27" i="4"/>
  <c r="G26" i="4"/>
  <c r="D72" i="4"/>
  <c r="E72" i="4"/>
  <c r="G72" i="4"/>
  <c r="G70" i="4"/>
  <c r="G68" i="4"/>
  <c r="G67" i="4"/>
  <c r="G69" i="4"/>
  <c r="G71" i="4"/>
  <c r="Q80" i="4"/>
  <c r="G34" i="4"/>
  <c r="D33" i="4"/>
  <c r="E33" i="4"/>
  <c r="B127" i="3" l="1"/>
  <c r="E126" i="3"/>
  <c r="I126" i="3"/>
  <c r="D126" i="3"/>
  <c r="J126" i="3"/>
  <c r="F126" i="3"/>
  <c r="K126" i="3"/>
  <c r="G126" i="3"/>
  <c r="C126" i="3"/>
  <c r="H126" i="3"/>
  <c r="H98" i="3"/>
  <c r="H99" i="3"/>
  <c r="J18" i="1"/>
  <c r="H67" i="3"/>
  <c r="H19" i="1"/>
  <c r="G19" i="1"/>
  <c r="F19" i="1"/>
  <c r="E19" i="1"/>
  <c r="D19" i="1"/>
  <c r="I19" i="1"/>
  <c r="K19" i="1" s="1"/>
  <c r="N21" i="1"/>
  <c r="O20" i="1"/>
  <c r="Q20" i="1"/>
  <c r="C20" i="1" s="1"/>
  <c r="B23" i="1"/>
  <c r="D73" i="4"/>
  <c r="E73" i="4"/>
  <c r="F73" i="4"/>
  <c r="H34" i="4"/>
  <c r="H32" i="4"/>
  <c r="H30" i="4"/>
  <c r="H28" i="4"/>
  <c r="H26" i="4"/>
  <c r="H31" i="4"/>
  <c r="H33" i="4"/>
  <c r="H27" i="4"/>
  <c r="H29" i="4"/>
  <c r="G73" i="4"/>
  <c r="H67" i="4"/>
  <c r="H69" i="4"/>
  <c r="H68" i="4"/>
  <c r="H71" i="4"/>
  <c r="H70" i="4"/>
  <c r="H73" i="4"/>
  <c r="H72" i="4"/>
  <c r="D34" i="4"/>
  <c r="E34" i="4"/>
  <c r="F34" i="4"/>
  <c r="B128" i="3" l="1"/>
  <c r="D127" i="3"/>
  <c r="H127" i="3"/>
  <c r="F127" i="3"/>
  <c r="K127" i="3"/>
  <c r="G127" i="3"/>
  <c r="C127" i="3"/>
  <c r="I127" i="3"/>
  <c r="E127" i="3"/>
  <c r="J127" i="3"/>
  <c r="I98" i="3"/>
  <c r="I99" i="3"/>
  <c r="I67" i="3"/>
  <c r="J19" i="1"/>
  <c r="N22" i="1"/>
  <c r="Q21" i="1"/>
  <c r="C21" i="1" s="1"/>
  <c r="O21" i="1"/>
  <c r="I20" i="1"/>
  <c r="K20" i="1" s="1"/>
  <c r="H20" i="1"/>
  <c r="G20" i="1"/>
  <c r="F20" i="1"/>
  <c r="E20" i="1"/>
  <c r="D20" i="1"/>
  <c r="B24" i="1"/>
  <c r="D35" i="4"/>
  <c r="I36" i="4"/>
  <c r="E35" i="4"/>
  <c r="F35" i="4"/>
  <c r="G35" i="4"/>
  <c r="I33" i="4"/>
  <c r="I32" i="4"/>
  <c r="I35" i="4"/>
  <c r="I34" i="4"/>
  <c r="I27" i="4"/>
  <c r="I29" i="4"/>
  <c r="I28" i="4"/>
  <c r="I26" i="4"/>
  <c r="I31" i="4"/>
  <c r="I30" i="4"/>
  <c r="I75" i="4"/>
  <c r="D74" i="4"/>
  <c r="E74" i="4"/>
  <c r="F74" i="4"/>
  <c r="G74" i="4"/>
  <c r="I73" i="4"/>
  <c r="I71" i="4"/>
  <c r="I69" i="4"/>
  <c r="I67" i="4"/>
  <c r="I68" i="4"/>
  <c r="I70" i="4"/>
  <c r="I72" i="4"/>
  <c r="I74" i="4"/>
  <c r="H74" i="4"/>
  <c r="H35" i="4"/>
  <c r="B129" i="3" l="1"/>
  <c r="C128" i="3"/>
  <c r="G128" i="3"/>
  <c r="K128" i="3"/>
  <c r="H128" i="3"/>
  <c r="D128" i="3"/>
  <c r="I128" i="3"/>
  <c r="E128" i="3"/>
  <c r="J128" i="3"/>
  <c r="F128" i="3"/>
  <c r="J99" i="3"/>
  <c r="J98" i="3"/>
  <c r="J20" i="1"/>
  <c r="J67" i="3"/>
  <c r="H21" i="1"/>
  <c r="G21" i="1"/>
  <c r="F21" i="1"/>
  <c r="E21" i="1"/>
  <c r="D21" i="1"/>
  <c r="I21" i="1"/>
  <c r="K21" i="1" s="1"/>
  <c r="N23" i="1"/>
  <c r="O22" i="1"/>
  <c r="Q22" i="1"/>
  <c r="C22" i="1" s="1"/>
  <c r="B25" i="1"/>
  <c r="J35" i="4"/>
  <c r="J33" i="4"/>
  <c r="J31" i="4"/>
  <c r="J29" i="4"/>
  <c r="J27" i="4"/>
  <c r="J34" i="4"/>
  <c r="J36" i="4"/>
  <c r="J28" i="4"/>
  <c r="J26" i="4"/>
  <c r="J30" i="4"/>
  <c r="J32" i="4"/>
  <c r="D75" i="4"/>
  <c r="E75" i="4"/>
  <c r="F75" i="4"/>
  <c r="G75" i="4"/>
  <c r="H75" i="4"/>
  <c r="J70" i="4"/>
  <c r="J69" i="4"/>
  <c r="J72" i="4"/>
  <c r="J71" i="4"/>
  <c r="J74" i="4"/>
  <c r="J73" i="4"/>
  <c r="J67" i="4"/>
  <c r="J75" i="4"/>
  <c r="J68" i="4"/>
  <c r="J37" i="4"/>
  <c r="D36" i="4"/>
  <c r="E36" i="4"/>
  <c r="F36" i="4"/>
  <c r="G36" i="4"/>
  <c r="H36" i="4"/>
  <c r="B130" i="3" l="1"/>
  <c r="F129" i="3"/>
  <c r="J129" i="3"/>
  <c r="D129" i="3"/>
  <c r="I129" i="3"/>
  <c r="E129" i="3"/>
  <c r="K129" i="3"/>
  <c r="G129" i="3"/>
  <c r="C129" i="3"/>
  <c r="H129" i="3"/>
  <c r="K98" i="3"/>
  <c r="K99" i="3"/>
  <c r="K67" i="3"/>
  <c r="J21" i="1"/>
  <c r="D22" i="1"/>
  <c r="I22" i="1"/>
  <c r="K22" i="1" s="1"/>
  <c r="H22" i="1"/>
  <c r="G22" i="1"/>
  <c r="F22" i="1"/>
  <c r="E22" i="1"/>
  <c r="N24" i="1"/>
  <c r="Q23" i="1"/>
  <c r="C23" i="1" s="1"/>
  <c r="O23" i="1"/>
  <c r="K110" i="4"/>
  <c r="K114" i="4"/>
  <c r="K111" i="4"/>
  <c r="K115" i="4"/>
  <c r="K112" i="4"/>
  <c r="K116" i="4"/>
  <c r="K108" i="4"/>
  <c r="K109" i="4"/>
  <c r="K113" i="4"/>
  <c r="K117" i="4"/>
  <c r="B26" i="1"/>
  <c r="K77" i="4"/>
  <c r="D76" i="4"/>
  <c r="E76" i="4"/>
  <c r="F76" i="4"/>
  <c r="G76" i="4"/>
  <c r="H76" i="4"/>
  <c r="I76" i="4"/>
  <c r="K118" i="4"/>
  <c r="J76" i="4"/>
  <c r="K76" i="4"/>
  <c r="K74" i="4"/>
  <c r="K72" i="4"/>
  <c r="K70" i="4"/>
  <c r="K68" i="4"/>
  <c r="K71" i="4"/>
  <c r="K73" i="4"/>
  <c r="K75" i="4"/>
  <c r="K69" i="4"/>
  <c r="K67" i="4"/>
  <c r="K36" i="4"/>
  <c r="K35" i="4"/>
  <c r="K28" i="4"/>
  <c r="K27" i="4"/>
  <c r="K26" i="4"/>
  <c r="K37" i="4"/>
  <c r="K30" i="4"/>
  <c r="K29" i="4"/>
  <c r="K32" i="4"/>
  <c r="K31" i="4"/>
  <c r="K34" i="4"/>
  <c r="K33" i="4"/>
  <c r="K38" i="4"/>
  <c r="D37" i="4"/>
  <c r="E37" i="4"/>
  <c r="F37" i="4"/>
  <c r="G37" i="4"/>
  <c r="H37" i="4"/>
  <c r="I37" i="4"/>
  <c r="B131" i="3" l="1"/>
  <c r="E130" i="3"/>
  <c r="I130" i="3"/>
  <c r="F130" i="3"/>
  <c r="K130" i="3"/>
  <c r="G130" i="3"/>
  <c r="C130" i="3"/>
  <c r="H130" i="3"/>
  <c r="J130" i="3"/>
  <c r="D130" i="3"/>
  <c r="J22" i="1"/>
  <c r="I23" i="1"/>
  <c r="K23" i="1" s="1"/>
  <c r="H23" i="1"/>
  <c r="G23" i="1"/>
  <c r="F23" i="1"/>
  <c r="E23" i="1"/>
  <c r="D23" i="1"/>
  <c r="N25" i="1"/>
  <c r="O24" i="1"/>
  <c r="Q24" i="1"/>
  <c r="C24" i="1" s="1"/>
  <c r="B27" i="1"/>
  <c r="D77" i="4"/>
  <c r="E77" i="4"/>
  <c r="F77" i="4"/>
  <c r="G77" i="4"/>
  <c r="H77" i="4"/>
  <c r="I77" i="4"/>
  <c r="J77" i="4"/>
  <c r="D38" i="4"/>
  <c r="E38" i="4"/>
  <c r="F38" i="4"/>
  <c r="G38" i="4"/>
  <c r="H38" i="4"/>
  <c r="I38" i="4"/>
  <c r="J38" i="4"/>
  <c r="B132" i="3" l="1"/>
  <c r="D131" i="3"/>
  <c r="H131" i="3"/>
  <c r="G131" i="3"/>
  <c r="C131" i="3"/>
  <c r="I131" i="3"/>
  <c r="E131" i="3"/>
  <c r="J131" i="3"/>
  <c r="F131" i="3"/>
  <c r="K131" i="3"/>
  <c r="J23" i="1"/>
  <c r="K119" i="4"/>
  <c r="I24" i="1"/>
  <c r="K24" i="1" s="1"/>
  <c r="H24" i="1"/>
  <c r="G24" i="1"/>
  <c r="F24" i="1"/>
  <c r="E24" i="1"/>
  <c r="D24" i="1"/>
  <c r="N26" i="1"/>
  <c r="Q25" i="1"/>
  <c r="C25" i="1" s="1"/>
  <c r="O25" i="1"/>
  <c r="B28" i="1"/>
  <c r="D39" i="4"/>
  <c r="E39" i="4"/>
  <c r="F39" i="4"/>
  <c r="G39" i="4"/>
  <c r="H39" i="4"/>
  <c r="I39" i="4"/>
  <c r="J39" i="4"/>
  <c r="K39" i="4"/>
  <c r="D78" i="4"/>
  <c r="E78" i="4"/>
  <c r="F78" i="4"/>
  <c r="G78" i="4"/>
  <c r="H78" i="4"/>
  <c r="I78" i="4"/>
  <c r="J78" i="4"/>
  <c r="K78" i="4"/>
  <c r="B133" i="3" l="1"/>
  <c r="C132" i="3"/>
  <c r="G132" i="3"/>
  <c r="K132" i="3"/>
  <c r="D132" i="3"/>
  <c r="I132" i="3"/>
  <c r="E132" i="3"/>
  <c r="J132" i="3"/>
  <c r="F132" i="3"/>
  <c r="H132" i="3"/>
  <c r="J24" i="1"/>
  <c r="K120" i="4"/>
  <c r="N27" i="1"/>
  <c r="O26" i="1"/>
  <c r="Q26" i="1"/>
  <c r="C26" i="1" s="1"/>
  <c r="F25" i="1"/>
  <c r="E25" i="1"/>
  <c r="D25" i="1"/>
  <c r="I25" i="1"/>
  <c r="K25" i="1" s="1"/>
  <c r="H25" i="1"/>
  <c r="G25" i="1"/>
  <c r="B29" i="1"/>
  <c r="D79" i="4"/>
  <c r="E79" i="4"/>
  <c r="F79" i="4"/>
  <c r="G79" i="4"/>
  <c r="H79" i="4"/>
  <c r="I79" i="4"/>
  <c r="J79" i="4"/>
  <c r="K79" i="4"/>
  <c r="D40" i="4"/>
  <c r="E40" i="4"/>
  <c r="F40" i="4"/>
  <c r="G40" i="4"/>
  <c r="H40" i="4"/>
  <c r="I40" i="4"/>
  <c r="J40" i="4"/>
  <c r="K40" i="4"/>
  <c r="B134" i="3" l="1"/>
  <c r="F133" i="3"/>
  <c r="J133" i="3"/>
  <c r="E133" i="3"/>
  <c r="K133" i="3"/>
  <c r="G133" i="3"/>
  <c r="C133" i="3"/>
  <c r="H133" i="3"/>
  <c r="D133" i="3"/>
  <c r="I133" i="3"/>
  <c r="J25" i="1"/>
  <c r="I26" i="1"/>
  <c r="K26" i="1" s="1"/>
  <c r="H26" i="1"/>
  <c r="G26" i="1"/>
  <c r="F26" i="1"/>
  <c r="E26" i="1"/>
  <c r="D26" i="1"/>
  <c r="K121" i="4"/>
  <c r="N28" i="1"/>
  <c r="Q27" i="1"/>
  <c r="C27" i="1" s="1"/>
  <c r="O27" i="1"/>
  <c r="B30" i="1"/>
  <c r="D80" i="4"/>
  <c r="E80" i="4"/>
  <c r="F80" i="4"/>
  <c r="G80" i="4"/>
  <c r="H80" i="4"/>
  <c r="I80" i="4"/>
  <c r="J80" i="4"/>
  <c r="K80" i="4"/>
  <c r="D41" i="4"/>
  <c r="E41" i="4"/>
  <c r="F41" i="4"/>
  <c r="G41" i="4"/>
  <c r="H41" i="4"/>
  <c r="I41" i="4"/>
  <c r="J41" i="4"/>
  <c r="K41" i="4"/>
  <c r="B135" i="3" l="1"/>
  <c r="E134" i="3"/>
  <c r="I134" i="3"/>
  <c r="G134" i="3"/>
  <c r="C134" i="3"/>
  <c r="H134" i="3"/>
  <c r="D134" i="3"/>
  <c r="J134" i="3"/>
  <c r="F134" i="3"/>
  <c r="K134" i="3"/>
  <c r="J26" i="1"/>
  <c r="F27" i="1"/>
  <c r="E27" i="1"/>
  <c r="I27" i="1"/>
  <c r="K27" i="1" s="1"/>
  <c r="H27" i="1"/>
  <c r="G27" i="1"/>
  <c r="D27" i="1"/>
  <c r="N29" i="1"/>
  <c r="O28" i="1"/>
  <c r="Q28" i="1"/>
  <c r="C28" i="1" s="1"/>
  <c r="K122" i="4"/>
  <c r="B31" i="1"/>
  <c r="D81" i="4"/>
  <c r="E81" i="4"/>
  <c r="F81" i="4"/>
  <c r="G81" i="4"/>
  <c r="H81" i="4"/>
  <c r="I81" i="4"/>
  <c r="J81" i="4"/>
  <c r="K81" i="4"/>
  <c r="D42" i="4"/>
  <c r="E42" i="4"/>
  <c r="F42" i="4"/>
  <c r="G42" i="4"/>
  <c r="H42" i="4"/>
  <c r="I42" i="4"/>
  <c r="J42" i="4"/>
  <c r="K42" i="4"/>
  <c r="B136" i="3" l="1"/>
  <c r="D135" i="3"/>
  <c r="H135" i="3"/>
  <c r="C135" i="3"/>
  <c r="I135" i="3"/>
  <c r="E135" i="3"/>
  <c r="J135" i="3"/>
  <c r="F135" i="3"/>
  <c r="K135" i="3"/>
  <c r="G135" i="3"/>
  <c r="J27" i="1"/>
  <c r="K123" i="4"/>
  <c r="I28" i="1"/>
  <c r="K28" i="1" s="1"/>
  <c r="H28" i="1"/>
  <c r="G28" i="1"/>
  <c r="F28" i="1"/>
  <c r="E28" i="1"/>
  <c r="D28" i="1"/>
  <c r="N30" i="1"/>
  <c r="Q29" i="1"/>
  <c r="C29" i="1" s="1"/>
  <c r="O29" i="1"/>
  <c r="B32" i="1"/>
  <c r="D43" i="4"/>
  <c r="E43" i="4"/>
  <c r="F43" i="4"/>
  <c r="G43" i="4"/>
  <c r="H43" i="4"/>
  <c r="I43" i="4"/>
  <c r="J43" i="4"/>
  <c r="K43" i="4"/>
  <c r="D82" i="4"/>
  <c r="E82" i="4"/>
  <c r="F82" i="4"/>
  <c r="G82" i="4"/>
  <c r="H82" i="4"/>
  <c r="I82" i="4"/>
  <c r="J82" i="4"/>
  <c r="K82" i="4"/>
  <c r="B137" i="3" l="1"/>
  <c r="C136" i="3"/>
  <c r="G136" i="3"/>
  <c r="K136" i="3"/>
  <c r="E136" i="3"/>
  <c r="J136" i="3"/>
  <c r="F136" i="3"/>
  <c r="H136" i="3"/>
  <c r="D136" i="3"/>
  <c r="I136" i="3"/>
  <c r="J28" i="1"/>
  <c r="K124" i="4"/>
  <c r="N31" i="1"/>
  <c r="O30" i="1"/>
  <c r="Q30" i="1"/>
  <c r="C30" i="1" s="1"/>
  <c r="G29" i="1"/>
  <c r="E29" i="1"/>
  <c r="I29" i="1"/>
  <c r="K29" i="1" s="1"/>
  <c r="H29" i="1"/>
  <c r="F29" i="1"/>
  <c r="D29" i="1"/>
  <c r="B33" i="1"/>
  <c r="D83" i="4"/>
  <c r="E83" i="4"/>
  <c r="F83" i="4"/>
  <c r="G83" i="4"/>
  <c r="H83" i="4"/>
  <c r="I83" i="4"/>
  <c r="J83" i="4"/>
  <c r="K83" i="4"/>
  <c r="D44" i="4"/>
  <c r="E44" i="4"/>
  <c r="F44" i="4"/>
  <c r="G44" i="4"/>
  <c r="H44" i="4"/>
  <c r="I44" i="4"/>
  <c r="J44" i="4"/>
  <c r="K44" i="4"/>
  <c r="B138" i="3" l="1"/>
  <c r="F137" i="3"/>
  <c r="J137" i="3"/>
  <c r="G137" i="3"/>
  <c r="C137" i="3"/>
  <c r="H137" i="3"/>
  <c r="D137" i="3"/>
  <c r="I137" i="3"/>
  <c r="K137" i="3"/>
  <c r="E137" i="3"/>
  <c r="J29" i="1"/>
  <c r="I30" i="1"/>
  <c r="K30" i="1" s="1"/>
  <c r="D30" i="1"/>
  <c r="H30" i="1"/>
  <c r="G30" i="1"/>
  <c r="F30" i="1"/>
  <c r="E30" i="1"/>
  <c r="N32" i="1"/>
  <c r="Q31" i="1"/>
  <c r="C31" i="1" s="1"/>
  <c r="O31" i="1"/>
  <c r="K125" i="4"/>
  <c r="B34" i="1"/>
  <c r="D84" i="4"/>
  <c r="E84" i="4"/>
  <c r="F84" i="4"/>
  <c r="G84" i="4"/>
  <c r="H84" i="4"/>
  <c r="I84" i="4"/>
  <c r="J84" i="4"/>
  <c r="K84" i="4"/>
  <c r="D45" i="4"/>
  <c r="E45" i="4"/>
  <c r="F45" i="4"/>
  <c r="G45" i="4"/>
  <c r="H45" i="4"/>
  <c r="I45" i="4"/>
  <c r="J45" i="4"/>
  <c r="K45" i="4"/>
  <c r="B139" i="3" l="1"/>
  <c r="E138" i="3"/>
  <c r="I138" i="3"/>
  <c r="C138" i="3"/>
  <c r="H138" i="3"/>
  <c r="D138" i="3"/>
  <c r="J138" i="3"/>
  <c r="F138" i="3"/>
  <c r="K138" i="3"/>
  <c r="G138" i="3"/>
  <c r="J30" i="1"/>
  <c r="K126" i="4"/>
  <c r="H31" i="1"/>
  <c r="G31" i="1"/>
  <c r="D31" i="1"/>
  <c r="I31" i="1"/>
  <c r="K31" i="1" s="1"/>
  <c r="F31" i="1"/>
  <c r="E31" i="1"/>
  <c r="N33" i="1"/>
  <c r="O32" i="1"/>
  <c r="Q32" i="1"/>
  <c r="C32" i="1" s="1"/>
  <c r="B35" i="1"/>
  <c r="D85" i="4"/>
  <c r="E85" i="4"/>
  <c r="F85" i="4"/>
  <c r="G85" i="4"/>
  <c r="H85" i="4"/>
  <c r="I85" i="4"/>
  <c r="J85" i="4"/>
  <c r="K85" i="4"/>
  <c r="D46" i="4"/>
  <c r="E46" i="4"/>
  <c r="F46" i="4"/>
  <c r="G46" i="4"/>
  <c r="H46" i="4"/>
  <c r="I46" i="4"/>
  <c r="J46" i="4"/>
  <c r="K46" i="4"/>
  <c r="B140" i="3" l="1"/>
  <c r="D139" i="3"/>
  <c r="H139" i="3"/>
  <c r="E139" i="3"/>
  <c r="J139" i="3"/>
  <c r="F139" i="3"/>
  <c r="K139" i="3"/>
  <c r="G139" i="3"/>
  <c r="C139" i="3"/>
  <c r="I139" i="3"/>
  <c r="J31" i="1"/>
  <c r="K127" i="4"/>
  <c r="I32" i="1"/>
  <c r="K32" i="1" s="1"/>
  <c r="H32" i="1"/>
  <c r="G32" i="1"/>
  <c r="F32" i="1"/>
  <c r="E32" i="1"/>
  <c r="D32" i="1"/>
  <c r="N34" i="1"/>
  <c r="Q33" i="1"/>
  <c r="C33" i="1" s="1"/>
  <c r="O33" i="1"/>
  <c r="B36" i="1"/>
  <c r="D47" i="4"/>
  <c r="E47" i="4"/>
  <c r="F47" i="4"/>
  <c r="G47" i="4"/>
  <c r="H47" i="4"/>
  <c r="I47" i="4"/>
  <c r="J47" i="4"/>
  <c r="K47" i="4"/>
  <c r="D86" i="4"/>
  <c r="E86" i="4"/>
  <c r="F86" i="4"/>
  <c r="G86" i="4"/>
  <c r="H86" i="4"/>
  <c r="I86" i="4"/>
  <c r="J86" i="4"/>
  <c r="K86" i="4"/>
  <c r="B141" i="3" l="1"/>
  <c r="C140" i="3"/>
  <c r="G140" i="3"/>
  <c r="K140" i="3"/>
  <c r="F140" i="3"/>
  <c r="H140" i="3"/>
  <c r="D140" i="3"/>
  <c r="I140" i="3"/>
  <c r="E140" i="3"/>
  <c r="J140" i="3"/>
  <c r="J32" i="1"/>
  <c r="N35" i="1"/>
  <c r="O34" i="1"/>
  <c r="Q34" i="1"/>
  <c r="C34" i="1" s="1"/>
  <c r="I33" i="1"/>
  <c r="K33" i="1" s="1"/>
  <c r="H33" i="1"/>
  <c r="G33" i="1"/>
  <c r="F33" i="1"/>
  <c r="D33" i="1"/>
  <c r="E33" i="1"/>
  <c r="K128" i="4"/>
  <c r="B37" i="1"/>
  <c r="D87" i="4"/>
  <c r="E87" i="4"/>
  <c r="F87" i="4"/>
  <c r="G87" i="4"/>
  <c r="H87" i="4"/>
  <c r="I87" i="4"/>
  <c r="J87" i="4"/>
  <c r="K87" i="4"/>
  <c r="D48" i="4"/>
  <c r="E48" i="4"/>
  <c r="F48" i="4"/>
  <c r="G48" i="4"/>
  <c r="H48" i="4"/>
  <c r="I48" i="4"/>
  <c r="J48" i="4"/>
  <c r="K48" i="4"/>
  <c r="B142" i="3" l="1"/>
  <c r="F141" i="3"/>
  <c r="J141" i="3"/>
  <c r="C141" i="3"/>
  <c r="H141" i="3"/>
  <c r="D141" i="3"/>
  <c r="I141" i="3"/>
  <c r="E141" i="3"/>
  <c r="K141" i="3"/>
  <c r="G141" i="3"/>
  <c r="J33" i="1"/>
  <c r="I34" i="1"/>
  <c r="K34" i="1" s="1"/>
  <c r="H34" i="1"/>
  <c r="G34" i="1"/>
  <c r="F34" i="1"/>
  <c r="E34" i="1"/>
  <c r="D34" i="1"/>
  <c r="K129" i="4"/>
  <c r="N36" i="1"/>
  <c r="Q35" i="1"/>
  <c r="C35" i="1" s="1"/>
  <c r="O35" i="1"/>
  <c r="B38" i="1"/>
  <c r="D88" i="4"/>
  <c r="E88" i="4"/>
  <c r="F88" i="4"/>
  <c r="G88" i="4"/>
  <c r="H88" i="4"/>
  <c r="I88" i="4"/>
  <c r="J88" i="4"/>
  <c r="K88" i="4"/>
  <c r="D49" i="4"/>
  <c r="E49" i="4"/>
  <c r="F49" i="4"/>
  <c r="G49" i="4"/>
  <c r="H49" i="4"/>
  <c r="I49" i="4"/>
  <c r="J49" i="4"/>
  <c r="K49" i="4"/>
  <c r="E142" i="3" l="1"/>
  <c r="I142" i="3"/>
  <c r="D142" i="3"/>
  <c r="J142" i="3"/>
  <c r="F142" i="3"/>
  <c r="K142" i="3"/>
  <c r="G142" i="3"/>
  <c r="H142" i="3"/>
  <c r="C142" i="3"/>
  <c r="J34" i="1"/>
  <c r="F35" i="1"/>
  <c r="E35" i="1"/>
  <c r="I35" i="1"/>
  <c r="K35" i="1" s="1"/>
  <c r="H35" i="1"/>
  <c r="G35" i="1"/>
  <c r="D35" i="1"/>
  <c r="K130" i="4"/>
  <c r="N37" i="1"/>
  <c r="O36" i="1"/>
  <c r="Q36" i="1"/>
  <c r="C36" i="1" s="1"/>
  <c r="B39" i="1"/>
  <c r="D89" i="4"/>
  <c r="E89" i="4"/>
  <c r="F89" i="4"/>
  <c r="G89" i="4"/>
  <c r="H89" i="4"/>
  <c r="I89" i="4"/>
  <c r="J89" i="4"/>
  <c r="K89" i="4"/>
  <c r="D50" i="4"/>
  <c r="E50" i="4"/>
  <c r="F50" i="4"/>
  <c r="G50" i="4"/>
  <c r="H50" i="4"/>
  <c r="I50" i="4"/>
  <c r="J50" i="4"/>
  <c r="K50" i="4"/>
  <c r="J35" i="1" l="1"/>
  <c r="K131" i="4"/>
  <c r="I36" i="1"/>
  <c r="K36" i="1" s="1"/>
  <c r="H36" i="1"/>
  <c r="G36" i="1"/>
  <c r="F36" i="1"/>
  <c r="E36" i="1"/>
  <c r="D36" i="1"/>
  <c r="N38" i="1"/>
  <c r="Q37" i="1"/>
  <c r="C37" i="1" s="1"/>
  <c r="O37" i="1"/>
  <c r="B40" i="1"/>
  <c r="D51" i="4"/>
  <c r="E51" i="4"/>
  <c r="F51" i="4"/>
  <c r="G51" i="4"/>
  <c r="H51" i="4"/>
  <c r="I51" i="4"/>
  <c r="J51" i="4"/>
  <c r="K51" i="4"/>
  <c r="D90" i="4"/>
  <c r="E90" i="4"/>
  <c r="F90" i="4"/>
  <c r="G90" i="4"/>
  <c r="H90" i="4"/>
  <c r="I90" i="4"/>
  <c r="J90" i="4"/>
  <c r="K90" i="4"/>
  <c r="J36" i="1" l="1"/>
  <c r="G37" i="1"/>
  <c r="F37" i="1"/>
  <c r="E37" i="1"/>
  <c r="D37" i="1"/>
  <c r="I37" i="1"/>
  <c r="K37" i="1" s="1"/>
  <c r="H37" i="1"/>
  <c r="K132" i="4"/>
  <c r="N39" i="1"/>
  <c r="O38" i="1"/>
  <c r="Q38" i="1"/>
  <c r="C38" i="1" s="1"/>
  <c r="D91" i="4"/>
  <c r="E91" i="4"/>
  <c r="F91" i="4"/>
  <c r="G91" i="4"/>
  <c r="H91" i="4"/>
  <c r="I91" i="4"/>
  <c r="J91" i="4"/>
  <c r="K91" i="4"/>
  <c r="D52" i="4"/>
  <c r="E52" i="4"/>
  <c r="F52" i="4"/>
  <c r="G52" i="4"/>
  <c r="H52" i="4"/>
  <c r="I52" i="4"/>
  <c r="J52" i="4"/>
  <c r="K52" i="4"/>
  <c r="J37" i="1" l="1"/>
  <c r="E38" i="1"/>
  <c r="I38" i="1"/>
  <c r="K38" i="1" s="1"/>
  <c r="H38" i="1"/>
  <c r="G38" i="1"/>
  <c r="F38" i="1"/>
  <c r="D38" i="1"/>
  <c r="Q107" i="4"/>
  <c r="K133" i="4"/>
  <c r="N40" i="1"/>
  <c r="Q39" i="1"/>
  <c r="C39" i="1" s="1"/>
  <c r="O39" i="1"/>
  <c r="D92" i="4"/>
  <c r="E92" i="4"/>
  <c r="F92" i="4"/>
  <c r="G92" i="4"/>
  <c r="H92" i="4"/>
  <c r="I92" i="4"/>
  <c r="J92" i="4"/>
  <c r="K92" i="4"/>
  <c r="D53" i="4"/>
  <c r="E53" i="4"/>
  <c r="F53" i="4"/>
  <c r="G53" i="4"/>
  <c r="H53" i="4"/>
  <c r="I53" i="4"/>
  <c r="J53" i="4"/>
  <c r="K53" i="4"/>
  <c r="J38" i="1" l="1"/>
  <c r="D39" i="1"/>
  <c r="I39" i="1"/>
  <c r="K39" i="1" s="1"/>
  <c r="H39" i="1"/>
  <c r="G39" i="1"/>
  <c r="F39" i="1"/>
  <c r="E39" i="1"/>
  <c r="K134" i="4"/>
  <c r="O40" i="1"/>
  <c r="Q40" i="1"/>
  <c r="C40" i="1" s="1"/>
  <c r="D93" i="4"/>
  <c r="E93" i="4"/>
  <c r="F93" i="4"/>
  <c r="G93" i="4"/>
  <c r="H93" i="4"/>
  <c r="I93" i="4"/>
  <c r="J93" i="4"/>
  <c r="K93" i="4"/>
  <c r="D54" i="4"/>
  <c r="E54" i="4"/>
  <c r="F54" i="4"/>
  <c r="G54" i="4"/>
  <c r="H54" i="4"/>
  <c r="I54" i="4"/>
  <c r="J54" i="4"/>
  <c r="K54" i="4"/>
  <c r="J39" i="1" l="1"/>
  <c r="I40" i="1"/>
  <c r="K40" i="1" s="1"/>
  <c r="H40" i="1"/>
  <c r="G40" i="1"/>
  <c r="F40" i="1"/>
  <c r="E40" i="1"/>
  <c r="D40" i="1"/>
  <c r="K135" i="4"/>
  <c r="D94" i="4"/>
  <c r="E94" i="4"/>
  <c r="F94" i="4"/>
  <c r="G94" i="4"/>
  <c r="H94" i="4"/>
  <c r="I94" i="4"/>
  <c r="J94" i="4"/>
  <c r="K94" i="4"/>
  <c r="D55" i="4"/>
  <c r="E55" i="4"/>
  <c r="F55" i="4"/>
  <c r="G55" i="4"/>
  <c r="H55" i="4"/>
  <c r="I55" i="4"/>
  <c r="J55" i="4"/>
  <c r="K55" i="4"/>
  <c r="J40" i="1" l="1"/>
  <c r="K136" i="4"/>
  <c r="D56" i="4"/>
  <c r="E56" i="4"/>
  <c r="F56" i="4"/>
  <c r="G56" i="4"/>
  <c r="H56" i="4"/>
  <c r="I56" i="4"/>
  <c r="J56" i="4"/>
  <c r="K56" i="4"/>
  <c r="D95" i="4"/>
  <c r="E95" i="4"/>
  <c r="F95" i="4"/>
  <c r="G95" i="4"/>
  <c r="H95" i="4"/>
  <c r="I95" i="4"/>
  <c r="J95" i="4"/>
  <c r="K95" i="4"/>
  <c r="K137" i="4" l="1"/>
  <c r="D96" i="4"/>
  <c r="E96" i="4"/>
  <c r="F96" i="4"/>
  <c r="G96" i="4"/>
  <c r="H96" i="4"/>
  <c r="I96" i="4"/>
  <c r="J96" i="4"/>
  <c r="K96" i="4"/>
  <c r="D57" i="4"/>
  <c r="E57" i="4"/>
  <c r="F57" i="4"/>
  <c r="G57" i="4"/>
  <c r="H57" i="4"/>
  <c r="I57" i="4"/>
  <c r="J57" i="4"/>
  <c r="K57" i="4"/>
  <c r="K138" i="4" l="1"/>
  <c r="D97" i="4"/>
  <c r="E97" i="4"/>
  <c r="F97" i="4"/>
  <c r="G97" i="4"/>
  <c r="H97" i="4"/>
  <c r="I97" i="4"/>
  <c r="J97" i="4"/>
  <c r="K97" i="4"/>
  <c r="D58" i="4"/>
  <c r="E58" i="4"/>
  <c r="F58" i="4"/>
  <c r="G58" i="4"/>
  <c r="H58" i="4"/>
  <c r="I58" i="4"/>
  <c r="J58" i="4"/>
  <c r="K58" i="4"/>
  <c r="K139" i="4" l="1"/>
  <c r="D98" i="4"/>
  <c r="E98" i="4"/>
  <c r="F98" i="4"/>
  <c r="G98" i="4"/>
  <c r="H98" i="4"/>
  <c r="I98" i="4"/>
  <c r="J98" i="4"/>
  <c r="Q82" i="4" s="1"/>
  <c r="K98" i="4"/>
  <c r="D59" i="4"/>
  <c r="E59" i="4"/>
  <c r="F59" i="4"/>
  <c r="G59" i="4"/>
  <c r="H59" i="4"/>
  <c r="I59" i="4"/>
  <c r="J59" i="4"/>
  <c r="K59" i="4"/>
  <c r="K140" i="4" l="1"/>
  <c r="D60" i="4"/>
  <c r="E60" i="4"/>
  <c r="F60" i="4"/>
  <c r="G60" i="4"/>
  <c r="H60" i="4"/>
  <c r="I60" i="4"/>
  <c r="J60" i="4"/>
  <c r="K60" i="4"/>
  <c r="D99" i="4"/>
  <c r="E99" i="4"/>
  <c r="F99" i="4"/>
  <c r="G99" i="4"/>
  <c r="H99" i="4"/>
  <c r="I99" i="4"/>
  <c r="J99" i="4"/>
  <c r="K99" i="4"/>
  <c r="K141" i="4" l="1"/>
  <c r="D100" i="4"/>
  <c r="E100" i="4"/>
  <c r="F100" i="4"/>
  <c r="G100" i="4"/>
  <c r="H100" i="4"/>
  <c r="I100" i="4"/>
  <c r="J100" i="4"/>
  <c r="K100" i="4"/>
  <c r="K142" i="4" l="1"/>
  <c r="D101" i="4"/>
  <c r="E101" i="4"/>
  <c r="F101" i="4"/>
  <c r="G101" i="4"/>
  <c r="H101" i="4"/>
  <c r="I101" i="4"/>
  <c r="J101" i="4"/>
  <c r="K101" i="4"/>
  <c r="Q110" i="3" l="1"/>
  <c r="N112" i="3"/>
  <c r="K17" i="5" s="1"/>
  <c r="AB48" i="5" s="1"/>
  <c r="K101" i="3"/>
  <c r="I101" i="3"/>
  <c r="G101" i="3"/>
  <c r="D101" i="3"/>
  <c r="F101" i="3"/>
  <c r="C101" i="3"/>
  <c r="H101" i="3"/>
  <c r="J101" i="3"/>
  <c r="E101" i="3"/>
  <c r="C77" i="3"/>
  <c r="I77" i="3"/>
  <c r="F77" i="3"/>
  <c r="D77" i="3"/>
  <c r="K77" i="3"/>
  <c r="J77" i="3"/>
  <c r="G77" i="3"/>
  <c r="H77" i="3"/>
  <c r="E77" i="3"/>
  <c r="D81" i="3"/>
  <c r="I81" i="3"/>
  <c r="C81" i="3"/>
  <c r="H81" i="3"/>
  <c r="E81" i="3"/>
  <c r="J81" i="3"/>
  <c r="F81" i="3"/>
  <c r="K81" i="3"/>
  <c r="G81" i="3"/>
  <c r="C85" i="3"/>
  <c r="E85" i="3"/>
  <c r="J85" i="3"/>
  <c r="G85" i="3"/>
  <c r="F85" i="3"/>
  <c r="I85" i="3"/>
  <c r="H85" i="3"/>
  <c r="D85" i="3"/>
  <c r="K85" i="3"/>
  <c r="E89" i="3"/>
  <c r="I89" i="3"/>
  <c r="C89" i="3"/>
  <c r="D89" i="3"/>
  <c r="J89" i="3"/>
  <c r="G89" i="3"/>
  <c r="H89" i="3"/>
  <c r="K89" i="3"/>
  <c r="F89" i="3"/>
  <c r="J93" i="3"/>
  <c r="H93" i="3"/>
  <c r="C93" i="3"/>
  <c r="K93" i="3"/>
  <c r="D93" i="3"/>
  <c r="E93" i="3"/>
  <c r="G93" i="3"/>
  <c r="F93" i="3"/>
  <c r="I93" i="3"/>
  <c r="K97" i="3"/>
  <c r="F97" i="3"/>
  <c r="E97" i="3"/>
  <c r="J97" i="3"/>
  <c r="H97" i="3"/>
  <c r="D97" i="3"/>
  <c r="I97" i="3"/>
  <c r="C97" i="3"/>
  <c r="G97" i="3"/>
  <c r="G82" i="3"/>
  <c r="I82" i="3"/>
  <c r="F82" i="3"/>
  <c r="E82" i="3"/>
  <c r="J82" i="3"/>
  <c r="C82" i="3"/>
  <c r="K82" i="3"/>
  <c r="D82" i="3"/>
  <c r="H82" i="3"/>
  <c r="E86" i="3"/>
  <c r="G86" i="3"/>
  <c r="D86" i="3"/>
  <c r="I86" i="3"/>
  <c r="F86" i="3"/>
  <c r="H86" i="3"/>
  <c r="K86" i="3"/>
  <c r="J86" i="3"/>
  <c r="C86" i="3"/>
  <c r="K90" i="3"/>
  <c r="D90" i="3"/>
  <c r="F90" i="3"/>
  <c r="J90" i="3"/>
  <c r="G90" i="3"/>
  <c r="H90" i="3"/>
  <c r="I90" i="3"/>
  <c r="E90" i="3"/>
  <c r="C90" i="3"/>
  <c r="J94" i="3"/>
  <c r="C94" i="3"/>
  <c r="H94" i="3"/>
  <c r="F94" i="3"/>
  <c r="G94" i="3"/>
  <c r="K94" i="3"/>
  <c r="E94" i="3"/>
  <c r="I94" i="3"/>
  <c r="D94" i="3"/>
  <c r="C98" i="3"/>
  <c r="E83" i="3"/>
  <c r="F83" i="3"/>
  <c r="K83" i="3"/>
  <c r="C83" i="3"/>
  <c r="I83" i="3"/>
  <c r="G83" i="3"/>
  <c r="H83" i="3"/>
  <c r="J83" i="3"/>
  <c r="D83" i="3"/>
  <c r="F87" i="3"/>
  <c r="G87" i="3"/>
  <c r="J87" i="3"/>
  <c r="K87" i="3"/>
  <c r="D87" i="3"/>
  <c r="C87" i="3"/>
  <c r="I87" i="3"/>
  <c r="E87" i="3"/>
  <c r="H87" i="3"/>
  <c r="I95" i="3"/>
  <c r="E95" i="3"/>
  <c r="G95" i="3"/>
  <c r="J95" i="3"/>
  <c r="K95" i="3"/>
  <c r="D95" i="3"/>
  <c r="F95" i="3"/>
  <c r="C95" i="3"/>
  <c r="H95" i="3"/>
  <c r="I84" i="3"/>
  <c r="G84" i="3"/>
  <c r="H84" i="3"/>
  <c r="D84" i="3"/>
  <c r="K84" i="3"/>
  <c r="J84" i="3"/>
  <c r="F84" i="3"/>
  <c r="E84" i="3"/>
  <c r="C92" i="3"/>
  <c r="F92" i="3"/>
  <c r="H92" i="3"/>
  <c r="K92" i="3"/>
  <c r="I92" i="3"/>
  <c r="E92" i="3"/>
  <c r="D92" i="3"/>
  <c r="J92" i="3"/>
  <c r="G92" i="3"/>
  <c r="G78" i="3"/>
  <c r="H78" i="3"/>
  <c r="D78" i="3"/>
  <c r="J78" i="3"/>
  <c r="F78" i="3"/>
  <c r="K78" i="3"/>
  <c r="E78" i="3"/>
  <c r="C78" i="3"/>
  <c r="I78" i="3"/>
  <c r="F79" i="3"/>
  <c r="E79" i="3"/>
  <c r="H79" i="3"/>
  <c r="I79" i="3"/>
  <c r="J79" i="3"/>
  <c r="K79" i="3"/>
  <c r="C79" i="3"/>
  <c r="G79" i="3"/>
  <c r="D79" i="3"/>
  <c r="K91" i="3"/>
  <c r="I91" i="3"/>
  <c r="D91" i="3"/>
  <c r="H91" i="3"/>
  <c r="F91" i="3"/>
  <c r="E91" i="3"/>
  <c r="J91" i="3"/>
  <c r="C91" i="3"/>
  <c r="G91" i="3"/>
  <c r="E80" i="3"/>
  <c r="G80" i="3"/>
  <c r="I80" i="3"/>
  <c r="K80" i="3"/>
  <c r="H80" i="3"/>
  <c r="C80" i="3"/>
  <c r="J80" i="3"/>
  <c r="D80" i="3"/>
  <c r="F80" i="3"/>
  <c r="J88" i="3"/>
  <c r="C88" i="3"/>
  <c r="K88" i="3"/>
  <c r="D88" i="3"/>
  <c r="E88" i="3"/>
  <c r="G88" i="3"/>
  <c r="F88" i="3"/>
  <c r="I88" i="3"/>
  <c r="H88" i="3"/>
  <c r="C96" i="3"/>
  <c r="F96" i="3"/>
  <c r="G96" i="3"/>
  <c r="J96" i="3"/>
  <c r="I96" i="3"/>
  <c r="E96" i="3"/>
  <c r="D96" i="3"/>
  <c r="H96" i="3"/>
  <c r="K96" i="3"/>
  <c r="J68" i="3"/>
  <c r="E68" i="3"/>
  <c r="I69" i="3"/>
  <c r="F69" i="3"/>
  <c r="J69" i="3"/>
  <c r="G69" i="3"/>
  <c r="C69" i="3"/>
  <c r="H69" i="3"/>
  <c r="E69" i="3"/>
  <c r="K69" i="3"/>
  <c r="D69" i="3"/>
  <c r="H70" i="3"/>
  <c r="I70" i="3"/>
  <c r="K70" i="3"/>
  <c r="E70" i="3"/>
  <c r="G70" i="3"/>
  <c r="D70" i="3"/>
  <c r="C70" i="3"/>
  <c r="J70" i="3"/>
  <c r="F70" i="3"/>
  <c r="C71" i="3"/>
  <c r="I71" i="3"/>
  <c r="K71" i="3"/>
  <c r="H71" i="3"/>
  <c r="J71" i="3"/>
  <c r="E71" i="3"/>
  <c r="F71" i="3"/>
  <c r="G71" i="3"/>
  <c r="D71" i="3"/>
  <c r="I72" i="3"/>
  <c r="D72" i="3"/>
  <c r="C72" i="3"/>
  <c r="K72" i="3"/>
  <c r="J72" i="3"/>
  <c r="H72" i="3"/>
  <c r="E72" i="3"/>
  <c r="G72" i="3"/>
  <c r="F72" i="3"/>
  <c r="E73" i="3"/>
  <c r="I73" i="3"/>
  <c r="F73" i="3"/>
  <c r="H73" i="3"/>
  <c r="C73" i="3"/>
  <c r="D73" i="3"/>
  <c r="J73" i="3"/>
  <c r="G73" i="3"/>
  <c r="K73" i="3"/>
  <c r="E74" i="3"/>
  <c r="J74" i="3"/>
  <c r="F74" i="3"/>
  <c r="I74" i="3"/>
  <c r="D74" i="3"/>
  <c r="G74" i="3"/>
  <c r="K74" i="3"/>
  <c r="H74" i="3"/>
  <c r="C74" i="3"/>
  <c r="E75" i="3"/>
  <c r="I75" i="3"/>
  <c r="G75" i="3"/>
  <c r="H75" i="3"/>
  <c r="F75" i="3"/>
  <c r="D75" i="3"/>
  <c r="C75" i="3"/>
  <c r="J75" i="3"/>
  <c r="K75" i="3"/>
  <c r="E76" i="3"/>
  <c r="I76" i="3"/>
  <c r="D76" i="3"/>
  <c r="C76" i="3"/>
  <c r="K76" i="3"/>
  <c r="J76" i="3"/>
  <c r="F76" i="3"/>
  <c r="H76" i="3"/>
  <c r="G76" i="3"/>
  <c r="C99" i="3"/>
  <c r="C84" i="3"/>
  <c r="G68" i="3"/>
  <c r="C68" i="3"/>
  <c r="K68" i="3" l="1"/>
  <c r="H68" i="3"/>
  <c r="D68" i="3"/>
  <c r="F68" i="3"/>
  <c r="I68" i="3"/>
  <c r="K100" i="3"/>
  <c r="I100" i="3"/>
  <c r="F100" i="3"/>
  <c r="D100" i="3"/>
  <c r="G100" i="3"/>
  <c r="H100" i="3"/>
  <c r="J100" i="3"/>
  <c r="E100" i="3"/>
  <c r="C100" i="3"/>
  <c r="Y73" i="3" s="1"/>
  <c r="N87" i="3" l="1"/>
  <c r="N33" i="3" s="1"/>
  <c r="Q85" i="3"/>
  <c r="C27" i="3"/>
  <c r="W72" i="3" l="1"/>
  <c r="K15" i="5"/>
  <c r="C28" i="3"/>
  <c r="AB46" i="5" l="1"/>
  <c r="C29" i="3"/>
  <c r="C30" i="3" l="1"/>
  <c r="C31" i="3" l="1"/>
  <c r="C32" i="3" l="1"/>
  <c r="C33" i="3" l="1"/>
  <c r="C34" i="3" l="1"/>
  <c r="C35" i="3" l="1"/>
  <c r="C36" i="3" l="1"/>
  <c r="C37" i="3" l="1"/>
  <c r="C38" i="3" l="1"/>
  <c r="C39" i="3" l="1"/>
  <c r="C40" i="3" l="1"/>
  <c r="C41" i="3" l="1"/>
  <c r="C42" i="3" l="1"/>
  <c r="J43" i="3" l="1"/>
  <c r="I43" i="3"/>
  <c r="F43" i="3"/>
  <c r="C43" i="3"/>
  <c r="H43" i="3"/>
  <c r="G43" i="3"/>
  <c r="K43" i="3"/>
  <c r="D43" i="3"/>
  <c r="E43" i="3"/>
  <c r="J44" i="3" l="1"/>
  <c r="G44" i="3"/>
  <c r="E44" i="3"/>
  <c r="I44" i="3"/>
  <c r="F44" i="3"/>
  <c r="H44" i="3"/>
  <c r="K44" i="3"/>
  <c r="D44" i="3"/>
  <c r="G42" i="3"/>
  <c r="E42" i="3"/>
  <c r="F42" i="3"/>
  <c r="I42" i="3"/>
  <c r="H42" i="3"/>
  <c r="C44" i="3"/>
  <c r="J42" i="3"/>
  <c r="K42" i="3"/>
  <c r="D42" i="3"/>
  <c r="J45" i="3" l="1"/>
  <c r="D45" i="3"/>
  <c r="F45" i="3"/>
  <c r="G45" i="3"/>
  <c r="E45" i="3"/>
  <c r="K45" i="3"/>
  <c r="H45" i="3"/>
  <c r="I45" i="3"/>
  <c r="G41" i="3"/>
  <c r="K41" i="3"/>
  <c r="E41" i="3"/>
  <c r="D41" i="3"/>
  <c r="H41" i="3"/>
  <c r="F41" i="3"/>
  <c r="C45" i="3"/>
  <c r="I41" i="3"/>
  <c r="J41" i="3"/>
  <c r="I46" i="3" l="1"/>
  <c r="D46" i="3"/>
  <c r="H46" i="3"/>
  <c r="J46" i="3"/>
  <c r="K46" i="3"/>
  <c r="E46" i="3"/>
  <c r="G46" i="3"/>
  <c r="F46" i="3"/>
  <c r="F40" i="3"/>
  <c r="J40" i="3"/>
  <c r="H40" i="3"/>
  <c r="K40" i="3"/>
  <c r="C46" i="3"/>
  <c r="D40" i="3"/>
  <c r="G40" i="3"/>
  <c r="I40" i="3"/>
  <c r="E40" i="3"/>
  <c r="I47" i="3" l="1"/>
  <c r="D47" i="3"/>
  <c r="H47" i="3"/>
  <c r="F47" i="3"/>
  <c r="K47" i="3"/>
  <c r="E47" i="3"/>
  <c r="J47" i="3"/>
  <c r="G47" i="3"/>
  <c r="H39" i="3"/>
  <c r="F39" i="3"/>
  <c r="K39" i="3"/>
  <c r="I39" i="3"/>
  <c r="J39" i="3"/>
  <c r="C47" i="3"/>
  <c r="E39" i="3"/>
  <c r="G39" i="3"/>
  <c r="D39" i="3"/>
  <c r="I48" i="3" l="1"/>
  <c r="H48" i="3"/>
  <c r="E48" i="3"/>
  <c r="K48" i="3"/>
  <c r="D48" i="3"/>
  <c r="F48" i="3"/>
  <c r="G48" i="3"/>
  <c r="J48" i="3"/>
  <c r="G38" i="3"/>
  <c r="K38" i="3"/>
  <c r="I38" i="3"/>
  <c r="J38" i="3"/>
  <c r="E38" i="3"/>
  <c r="C48" i="3"/>
  <c r="F38" i="3"/>
  <c r="D38" i="3"/>
  <c r="H38" i="3"/>
  <c r="H49" i="3" l="1"/>
  <c r="K49" i="3"/>
  <c r="G49" i="3"/>
  <c r="F49" i="3"/>
  <c r="D49" i="3"/>
  <c r="I49" i="3"/>
  <c r="E49" i="3"/>
  <c r="J49" i="3"/>
  <c r="H37" i="3"/>
  <c r="F37" i="3"/>
  <c r="K37" i="3"/>
  <c r="J37" i="3"/>
  <c r="I37" i="3"/>
  <c r="C49" i="3"/>
  <c r="G37" i="3"/>
  <c r="D37" i="3"/>
  <c r="E37" i="3"/>
  <c r="G50" i="3" l="1"/>
  <c r="I50" i="3"/>
  <c r="J50" i="3"/>
  <c r="K50" i="3"/>
  <c r="E50" i="3"/>
  <c r="D50" i="3"/>
  <c r="F50" i="3"/>
  <c r="H50" i="3"/>
  <c r="E36" i="3"/>
  <c r="G36" i="3"/>
  <c r="H36" i="3"/>
  <c r="J36" i="3"/>
  <c r="K36" i="3"/>
  <c r="C50" i="3"/>
  <c r="D36" i="3"/>
  <c r="I36" i="3"/>
  <c r="F36" i="3"/>
  <c r="E51" i="3" l="1"/>
  <c r="I51" i="3"/>
  <c r="G51" i="3"/>
  <c r="H51" i="3"/>
  <c r="D51" i="3"/>
  <c r="J51" i="3"/>
  <c r="K51" i="3"/>
  <c r="F51" i="3"/>
  <c r="F35" i="3"/>
  <c r="J35" i="3"/>
  <c r="D35" i="3"/>
  <c r="I35" i="3"/>
  <c r="G35" i="3"/>
  <c r="E35" i="3"/>
  <c r="C51" i="3"/>
  <c r="K35" i="3"/>
  <c r="H35" i="3"/>
  <c r="G52" i="3" l="1"/>
  <c r="J52" i="3"/>
  <c r="K52" i="3"/>
  <c r="D52" i="3"/>
  <c r="H52" i="3"/>
  <c r="E52" i="3"/>
  <c r="I52" i="3"/>
  <c r="F52" i="3"/>
  <c r="J34" i="3"/>
  <c r="H34" i="3"/>
  <c r="F34" i="3"/>
  <c r="G34" i="3"/>
  <c r="E34" i="3"/>
  <c r="C52" i="3"/>
  <c r="K34" i="3"/>
  <c r="I34" i="3"/>
  <c r="D34" i="3"/>
  <c r="K53" i="3" l="1"/>
  <c r="J53" i="3"/>
  <c r="G53" i="3"/>
  <c r="E53" i="3"/>
  <c r="I53" i="3"/>
  <c r="H53" i="3"/>
  <c r="D53" i="3"/>
  <c r="F53" i="3"/>
  <c r="K33" i="3"/>
  <c r="F33" i="3"/>
  <c r="I33" i="3"/>
  <c r="J33" i="3"/>
  <c r="E33" i="3"/>
  <c r="C53" i="3"/>
  <c r="D33" i="3"/>
  <c r="G33" i="3"/>
  <c r="H33" i="3"/>
  <c r="H54" i="3" l="1"/>
  <c r="G54" i="3"/>
  <c r="K54" i="3"/>
  <c r="F54" i="3"/>
  <c r="D54" i="3"/>
  <c r="I54" i="3"/>
  <c r="J54" i="3"/>
  <c r="E54" i="3"/>
  <c r="D32" i="3"/>
  <c r="F32" i="3"/>
  <c r="G32" i="3"/>
  <c r="I32" i="3"/>
  <c r="E32" i="3"/>
  <c r="J32" i="3"/>
  <c r="H32" i="3"/>
  <c r="K32" i="3"/>
  <c r="C54" i="3"/>
  <c r="E55" i="3" l="1"/>
  <c r="K55" i="3"/>
  <c r="G55" i="3"/>
  <c r="I55" i="3"/>
  <c r="H55" i="3"/>
  <c r="D55" i="3"/>
  <c r="F55" i="3"/>
  <c r="J55" i="3"/>
  <c r="F31" i="3"/>
  <c r="J31" i="3"/>
  <c r="H31" i="3"/>
  <c r="I31" i="3"/>
  <c r="K31" i="3"/>
  <c r="C55" i="3"/>
  <c r="D31" i="3"/>
  <c r="G31" i="3"/>
  <c r="E31" i="3"/>
  <c r="G56" i="3" l="1"/>
  <c r="H56" i="3"/>
  <c r="I56" i="3"/>
  <c r="E56" i="3"/>
  <c r="J56" i="3"/>
  <c r="K56" i="3"/>
  <c r="D56" i="3"/>
  <c r="F56" i="3"/>
  <c r="D30" i="3"/>
  <c r="G30" i="3"/>
  <c r="J30" i="3"/>
  <c r="K30" i="3"/>
  <c r="F30" i="3"/>
  <c r="C56" i="3"/>
  <c r="H30" i="3"/>
  <c r="I30" i="3"/>
  <c r="E30" i="3"/>
  <c r="E57" i="3" l="1"/>
  <c r="K57" i="3"/>
  <c r="F57" i="3"/>
  <c r="D57" i="3"/>
  <c r="J57" i="3"/>
  <c r="I57" i="3"/>
  <c r="H57" i="3"/>
  <c r="G57" i="3"/>
  <c r="G29" i="3"/>
  <c r="F29" i="3"/>
  <c r="I29" i="3"/>
  <c r="E29" i="3"/>
  <c r="J29" i="3"/>
  <c r="C57" i="3"/>
  <c r="H29" i="3"/>
  <c r="K29" i="3"/>
  <c r="D29" i="3"/>
  <c r="J58" i="3" l="1"/>
  <c r="K58" i="3"/>
  <c r="G58" i="3"/>
  <c r="D58" i="3"/>
  <c r="F58" i="3"/>
  <c r="E58" i="3"/>
  <c r="H58" i="3"/>
  <c r="I58" i="3"/>
  <c r="I28" i="3"/>
  <c r="E28" i="3"/>
  <c r="J28" i="3"/>
  <c r="G28" i="3"/>
  <c r="F28" i="3"/>
  <c r="H28" i="3"/>
  <c r="K28" i="3"/>
  <c r="D28" i="3"/>
  <c r="C58" i="3"/>
  <c r="D59" i="3" l="1"/>
  <c r="E59" i="3"/>
  <c r="F59" i="3"/>
  <c r="G59" i="3"/>
  <c r="H59" i="3"/>
  <c r="I59" i="3"/>
  <c r="J59" i="3"/>
  <c r="K59" i="3"/>
  <c r="G27" i="3"/>
  <c r="F27" i="3"/>
  <c r="C59" i="3"/>
  <c r="J27" i="3"/>
  <c r="E27" i="3"/>
  <c r="D27" i="3"/>
  <c r="K27" i="3"/>
  <c r="H27" i="3"/>
  <c r="I27" i="3"/>
  <c r="E60" i="3" l="1"/>
  <c r="J60" i="3"/>
  <c r="K60" i="3"/>
  <c r="F60" i="3"/>
  <c r="I60" i="3"/>
  <c r="G60" i="3"/>
  <c r="D60" i="3"/>
  <c r="H60" i="3"/>
  <c r="E26" i="3"/>
  <c r="C60" i="3"/>
  <c r="N31" i="3" s="1"/>
  <c r="K16" i="5" s="1"/>
  <c r="AB47" i="5" s="1"/>
  <c r="D26" i="3"/>
  <c r="J26" i="3"/>
  <c r="F26" i="3"/>
  <c r="I26" i="3"/>
  <c r="G26" i="3"/>
  <c r="H26" i="3"/>
  <c r="K26" i="3"/>
  <c r="Q29" i="3" l="1"/>
</calcChain>
</file>

<file path=xl/sharedStrings.xml><?xml version="1.0" encoding="utf-8"?>
<sst xmlns="http://schemas.openxmlformats.org/spreadsheetml/2006/main" count="402" uniqueCount="207">
  <si>
    <t xml:space="preserve"> </t>
  </si>
  <si>
    <t>Overall Size</t>
  </si>
  <si>
    <t>Inputs</t>
  </si>
  <si>
    <t>Lin. Feet</t>
  </si>
  <si>
    <t>Double Fascia:</t>
  </si>
  <si>
    <t>Width</t>
  </si>
  <si>
    <t>Length</t>
  </si>
  <si>
    <t>Frame Size</t>
  </si>
  <si>
    <t>STEP #3</t>
  </si>
  <si>
    <t>Feet</t>
  </si>
  <si>
    <t>Inches</t>
  </si>
  <si>
    <t xml:space="preserve">Apollo Only (No frame) </t>
  </si>
  <si>
    <t>Yes</t>
  </si>
  <si>
    <t># of Bays</t>
  </si>
  <si>
    <t>STEP #4</t>
  </si>
  <si>
    <t>STEP #1</t>
  </si>
  <si>
    <t>STEP #2</t>
  </si>
  <si>
    <t>Wind Load</t>
  </si>
  <si>
    <t>STEP #5</t>
  </si>
  <si>
    <t>Snow Load</t>
  </si>
  <si>
    <t>STEP #6</t>
  </si>
  <si>
    <t>Rafter total lineal feet</t>
  </si>
  <si>
    <t>added units and simplified</t>
  </si>
  <si>
    <t>2x8 wt</t>
  </si>
  <si>
    <t>2x10 wt.</t>
  </si>
  <si>
    <t>Fascia total lineal feet</t>
  </si>
  <si>
    <t>Total rafter length</t>
  </si>
  <si>
    <t>Louver Actual Length</t>
  </si>
  <si>
    <t>Max Allowable Spans</t>
  </si>
  <si>
    <t>Louvers</t>
  </si>
  <si>
    <t>End Rafters</t>
  </si>
  <si>
    <t>Fascia Beams</t>
  </si>
  <si>
    <t>Double Carry / Cantilever Beam Required</t>
  </si>
  <si>
    <t>Note: Post may be place under each rafter at "Max Span" if double carry beam is not desired</t>
  </si>
  <si>
    <t>Textbox1</t>
  </si>
  <si>
    <t>Textbox2</t>
  </si>
  <si>
    <t>2x8=3# plf</t>
  </si>
  <si>
    <t>2x10=3.6# plf</t>
  </si>
  <si>
    <t>Chart Data:</t>
  </si>
  <si>
    <t>max size</t>
  </si>
  <si>
    <t xml:space="preserve">Resizing factors: </t>
  </si>
  <si>
    <t>x</t>
  </si>
  <si>
    <t>y</t>
  </si>
  <si>
    <t>Rafter</t>
  </si>
  <si>
    <t>Fascia</t>
  </si>
  <si>
    <t>Louver Length:</t>
  </si>
  <si>
    <t>Rafter end length:</t>
  </si>
  <si>
    <t>Center Rafter lgth:</t>
  </si>
  <si>
    <t>Trellis Design Loads (ASCE 7-10)</t>
  </si>
  <si>
    <t>Design Wind Pressures per ASCE 7-10 - Open Structure</t>
  </si>
  <si>
    <t>R I S K   C A T A G O R Y   I I</t>
  </si>
  <si>
    <t>Input Variables:</t>
  </si>
  <si>
    <t>Maximum trellis height:</t>
  </si>
  <si>
    <t>feet</t>
  </si>
  <si>
    <t>Roof Zones - Figure 30.8-1</t>
  </si>
  <si>
    <t>Exposure:</t>
  </si>
  <si>
    <t>B</t>
  </si>
  <si>
    <r>
      <t>Topographic Factor (K</t>
    </r>
    <r>
      <rPr>
        <vertAlign val="subscript"/>
        <sz val="10"/>
        <color theme="1"/>
        <rFont val="Calibri"/>
        <family val="2"/>
        <scheme val="minor"/>
      </rPr>
      <t>zt</t>
    </r>
    <r>
      <rPr>
        <sz val="10"/>
        <color theme="1"/>
        <rFont val="Calibri"/>
        <family val="2"/>
        <scheme val="minor"/>
      </rPr>
      <t>):</t>
    </r>
  </si>
  <si>
    <r>
      <t>Directionality Factor (K</t>
    </r>
    <r>
      <rPr>
        <vertAlign val="subscript"/>
        <sz val="10"/>
        <color theme="1"/>
        <rFont val="Calibri"/>
        <family val="2"/>
        <scheme val="minor"/>
      </rPr>
      <t>d</t>
    </r>
    <r>
      <rPr>
        <sz val="10"/>
        <color theme="1"/>
        <rFont val="Calibri"/>
        <family val="2"/>
        <scheme val="minor"/>
      </rPr>
      <t>):</t>
    </r>
  </si>
  <si>
    <t>Gust Effect Factor (G):</t>
  </si>
  <si>
    <r>
      <t>Velocity Pressure Coeff. (K</t>
    </r>
    <r>
      <rPr>
        <vertAlign val="subscript"/>
        <sz val="10"/>
        <color theme="1"/>
        <rFont val="Calibri"/>
        <family val="2"/>
        <scheme val="minor"/>
      </rPr>
      <t>z</t>
    </r>
    <r>
      <rPr>
        <sz val="10"/>
        <color theme="1"/>
        <rFont val="Calibri"/>
        <family val="2"/>
        <scheme val="minor"/>
      </rPr>
      <t>):</t>
    </r>
  </si>
  <si>
    <t>Roof Slope:</t>
  </si>
  <si>
    <t>deg.</t>
  </si>
  <si>
    <t>ASD Conversion Factor:</t>
  </si>
  <si>
    <t>Internal Pressure Coefficient:</t>
  </si>
  <si>
    <t>External Pressure Coefficients:</t>
  </si>
  <si>
    <t>MWFRS                                           Main Wind Force Resisting System    (Frame)</t>
  </si>
  <si>
    <r>
      <t>G</t>
    </r>
    <r>
      <rPr>
        <vertAlign val="subscript"/>
        <sz val="10"/>
        <color theme="1"/>
        <rFont val="Calibri"/>
        <family val="2"/>
        <scheme val="minor"/>
      </rPr>
      <t>NW</t>
    </r>
    <r>
      <rPr>
        <sz val="10"/>
        <color theme="1"/>
        <rFont val="Calibri"/>
        <family val="2"/>
        <scheme val="minor"/>
      </rPr>
      <t>1=</t>
    </r>
  </si>
  <si>
    <t>Per Figure 27.4-4</t>
  </si>
  <si>
    <r>
      <t>G</t>
    </r>
    <r>
      <rPr>
        <vertAlign val="subscript"/>
        <sz val="10"/>
        <color theme="1"/>
        <rFont val="Calibri"/>
        <family val="2"/>
        <scheme val="minor"/>
      </rPr>
      <t>NW</t>
    </r>
    <r>
      <rPr>
        <sz val="10"/>
        <color theme="1"/>
        <rFont val="Calibri"/>
        <family val="2"/>
        <scheme val="minor"/>
      </rPr>
      <t>2=</t>
    </r>
  </si>
  <si>
    <r>
      <t>G</t>
    </r>
    <r>
      <rPr>
        <vertAlign val="subscript"/>
        <sz val="10"/>
        <color theme="1"/>
        <rFont val="Calibri"/>
        <family val="2"/>
        <scheme val="minor"/>
      </rPr>
      <t>NL</t>
    </r>
    <r>
      <rPr>
        <sz val="10"/>
        <color theme="1"/>
        <rFont val="Calibri"/>
        <family val="2"/>
        <scheme val="minor"/>
      </rPr>
      <t>1=</t>
    </r>
  </si>
  <si>
    <r>
      <t>G</t>
    </r>
    <r>
      <rPr>
        <vertAlign val="subscript"/>
        <sz val="10"/>
        <color theme="1"/>
        <rFont val="Calibri"/>
        <family val="2"/>
        <scheme val="minor"/>
      </rPr>
      <t>NL</t>
    </r>
    <r>
      <rPr>
        <sz val="10"/>
        <color theme="1"/>
        <rFont val="Calibri"/>
        <family val="2"/>
        <scheme val="minor"/>
      </rPr>
      <t>2=</t>
    </r>
  </si>
  <si>
    <t>MWFRS Lateral Wind (Frame)</t>
  </si>
  <si>
    <t>Gcpe=</t>
  </si>
  <si>
    <t>Components and Cladding              (Blades)</t>
  </si>
  <si>
    <r>
      <t>C</t>
    </r>
    <r>
      <rPr>
        <vertAlign val="subscript"/>
        <sz val="10"/>
        <color theme="1"/>
        <rFont val="Calibri"/>
        <family val="2"/>
        <scheme val="minor"/>
      </rPr>
      <t>N3n</t>
    </r>
    <r>
      <rPr>
        <sz val="10"/>
        <color theme="1"/>
        <rFont val="Calibri"/>
        <family val="2"/>
        <scheme val="minor"/>
      </rPr>
      <t>=</t>
    </r>
  </si>
  <si>
    <t>Per Figure 30.8-1</t>
  </si>
  <si>
    <t>Area SqFt.</t>
  </si>
  <si>
    <r>
      <t>C</t>
    </r>
    <r>
      <rPr>
        <vertAlign val="subscript"/>
        <sz val="10"/>
        <color theme="1"/>
        <rFont val="Calibri"/>
        <family val="2"/>
        <scheme val="minor"/>
      </rPr>
      <t>N3p</t>
    </r>
    <r>
      <rPr>
        <sz val="10"/>
        <color theme="1"/>
        <rFont val="Calibri"/>
        <family val="2"/>
        <scheme val="minor"/>
      </rPr>
      <t>=</t>
    </r>
  </si>
  <si>
    <r>
      <t>C</t>
    </r>
    <r>
      <rPr>
        <vertAlign val="subscript"/>
        <sz val="10"/>
        <color theme="1"/>
        <rFont val="Calibri"/>
        <family val="2"/>
        <scheme val="minor"/>
      </rPr>
      <t>N2n</t>
    </r>
    <r>
      <rPr>
        <sz val="10"/>
        <color theme="1"/>
        <rFont val="Calibri"/>
        <family val="2"/>
        <scheme val="minor"/>
      </rPr>
      <t>=</t>
    </r>
  </si>
  <si>
    <r>
      <t>C</t>
    </r>
    <r>
      <rPr>
        <vertAlign val="subscript"/>
        <sz val="10"/>
        <color theme="1"/>
        <rFont val="Calibri"/>
        <family val="2"/>
        <scheme val="minor"/>
      </rPr>
      <t>N2p</t>
    </r>
    <r>
      <rPr>
        <sz val="10"/>
        <color theme="1"/>
        <rFont val="Calibri"/>
        <family val="2"/>
        <scheme val="minor"/>
      </rPr>
      <t>=</t>
    </r>
  </si>
  <si>
    <r>
      <t>C</t>
    </r>
    <r>
      <rPr>
        <vertAlign val="subscript"/>
        <sz val="10"/>
        <color theme="1"/>
        <rFont val="Calibri"/>
        <family val="2"/>
        <scheme val="minor"/>
      </rPr>
      <t>N1n</t>
    </r>
    <r>
      <rPr>
        <sz val="10"/>
        <color theme="1"/>
        <rFont val="Calibri"/>
        <family val="2"/>
        <scheme val="minor"/>
      </rPr>
      <t>=</t>
    </r>
  </si>
  <si>
    <r>
      <t>C</t>
    </r>
    <r>
      <rPr>
        <vertAlign val="subscript"/>
        <sz val="10"/>
        <color theme="1"/>
        <rFont val="Calibri"/>
        <family val="2"/>
        <scheme val="minor"/>
      </rPr>
      <t>N1p</t>
    </r>
    <r>
      <rPr>
        <sz val="10"/>
        <color theme="1"/>
        <rFont val="Calibri"/>
        <family val="2"/>
        <scheme val="minor"/>
      </rPr>
      <t>=</t>
    </r>
  </si>
  <si>
    <t>Inputs from Sheet 1</t>
  </si>
  <si>
    <t>Dead Load</t>
  </si>
  <si>
    <t xml:space="preserve">Frame Dead Load: </t>
  </si>
  <si>
    <t>D E S I G N   W I N D   P R E S S U R E S   (PSF)</t>
  </si>
  <si>
    <t xml:space="preserve">Louver Dead Load: </t>
  </si>
  <si>
    <t>ROOF    ZONE</t>
  </si>
  <si>
    <t>Maximum Wind Speed (3-sec.gust), mph</t>
  </si>
  <si>
    <t>Frame Total Lf</t>
  </si>
  <si>
    <t>1 (up)</t>
  </si>
  <si>
    <t>1 (dn)</t>
  </si>
  <si>
    <t>2 (up)</t>
  </si>
  <si>
    <t>2x8 wt. plf</t>
  </si>
  <si>
    <t>2 (dn)</t>
  </si>
  <si>
    <t>2x10 wt. plf</t>
  </si>
  <si>
    <t>3 (up)</t>
  </si>
  <si>
    <t>3 (dn)</t>
  </si>
  <si>
    <t>MWFRS(up)</t>
  </si>
  <si>
    <t>MWFRS(dn)</t>
  </si>
  <si>
    <t>MWFRS (lat)</t>
  </si>
  <si>
    <t>Load Combinations:</t>
  </si>
  <si>
    <t>NOTE:</t>
  </si>
  <si>
    <t>Roof Zone 1 corresponds to the center section of the roof.  Most of the blades will see this wind pressure.  Zone 2 corresponds to the roof edge zone.  Typically applied to the area that is from 3 feet to 6 feet from the edge of the roof.   Zone 3 is the outer 3 feet of the roof.  The Main Wind Force Resisting System (MWFRS) is the frame, or beams and columns of the roof.  They have separate pressures, downward and upward applied to them, typically less than the blade pressures.  The MWFRS (lat) pressure is wind load applied to the side of the louvered roof and is used to design the columns.</t>
  </si>
  <si>
    <t xml:space="preserve">Dead Load </t>
  </si>
  <si>
    <t>Dead Load + Snow Load</t>
  </si>
  <si>
    <t>Dead Load + Wind Load</t>
  </si>
  <si>
    <t>Highest load of these three</t>
  </si>
  <si>
    <t>Design Snow Loads per ASCE 7-10</t>
  </si>
  <si>
    <t>Dead Load + Snow Load*0.75 + Wind Load*0.75</t>
  </si>
  <si>
    <t>Mini Load Calculator:</t>
  </si>
  <si>
    <r>
      <t>Thermal Factor (C</t>
    </r>
    <r>
      <rPr>
        <vertAlign val="subscript"/>
        <sz val="10"/>
        <color theme="1"/>
        <rFont val="Calibri"/>
        <family val="2"/>
        <scheme val="minor"/>
      </rPr>
      <t>t</t>
    </r>
    <r>
      <rPr>
        <sz val="10"/>
        <color theme="1"/>
        <rFont val="Calibri"/>
        <family val="2"/>
        <scheme val="minor"/>
      </rPr>
      <t>):</t>
    </r>
  </si>
  <si>
    <t>psf LL</t>
  </si>
  <si>
    <t>Input Values here:</t>
  </si>
  <si>
    <t>psf</t>
  </si>
  <si>
    <r>
      <t>Exposure Factor (C</t>
    </r>
    <r>
      <rPr>
        <vertAlign val="subscript"/>
        <sz val="10"/>
        <color theme="1"/>
        <rFont val="Calibri"/>
        <family val="2"/>
        <scheme val="minor"/>
      </rPr>
      <t>e</t>
    </r>
    <r>
      <rPr>
        <sz val="10"/>
        <color theme="1"/>
        <rFont val="Calibri"/>
        <family val="2"/>
        <scheme val="minor"/>
      </rPr>
      <t>):</t>
    </r>
  </si>
  <si>
    <t xml:space="preserve">Same equation, just simplified it. </t>
  </si>
  <si>
    <r>
      <t>Importance Factor (I</t>
    </r>
    <r>
      <rPr>
        <vertAlign val="subscript"/>
        <sz val="10"/>
        <color theme="1"/>
        <rFont val="Calibri"/>
        <family val="2"/>
        <scheme val="minor"/>
      </rPr>
      <t>s</t>
    </r>
    <r>
      <rPr>
        <sz val="10"/>
        <color theme="1"/>
        <rFont val="Calibri"/>
        <family val="2"/>
        <scheme val="minor"/>
      </rPr>
      <t>):</t>
    </r>
  </si>
  <si>
    <t>Snow load</t>
  </si>
  <si>
    <t xml:space="preserve">Ground snow load is different than roof snow load. </t>
  </si>
  <si>
    <r>
      <t>Roof Slope Factor (C</t>
    </r>
    <r>
      <rPr>
        <vertAlign val="subscript"/>
        <sz val="10"/>
        <color theme="1"/>
        <rFont val="Calibri"/>
        <family val="2"/>
        <scheme val="minor"/>
      </rPr>
      <t>s</t>
    </r>
    <r>
      <rPr>
        <sz val="10"/>
        <color theme="1"/>
        <rFont val="Calibri"/>
        <family val="2"/>
        <scheme val="minor"/>
      </rPr>
      <t>):</t>
    </r>
  </si>
  <si>
    <t>Live Load</t>
  </si>
  <si>
    <t>D E S I G N   S N O W   L O A D   (PSF)</t>
  </si>
  <si>
    <t>Design Load to use:</t>
  </si>
  <si>
    <r>
      <t>Ground Snow Load (P</t>
    </r>
    <r>
      <rPr>
        <b/>
        <vertAlign val="subscript"/>
        <sz val="10"/>
        <color theme="1"/>
        <rFont val="Calibri"/>
        <family val="2"/>
        <scheme val="minor"/>
      </rPr>
      <t>g</t>
    </r>
    <r>
      <rPr>
        <b/>
        <sz val="10"/>
        <color theme="1"/>
        <rFont val="Calibri"/>
        <family val="2"/>
        <scheme val="minor"/>
      </rPr>
      <t>): (psf)</t>
    </r>
  </si>
  <si>
    <t>D E S I G N   L O A D   C O M B I N A T I O N   (110 mph Wind plus Snow plus Dead Load plus 10 psf LL)</t>
  </si>
  <si>
    <t>Ground Snow Load (Pg): (psf)</t>
  </si>
  <si>
    <t>D E S I G N   L O A D   C O M B I N A T I O N   (115 mph Wind plus Snow plus Dead Load plus 10 psf LL)</t>
  </si>
  <si>
    <t>D E S I G N   L O A D   C O M B I N A T I O N   (120 mph Wind plus Snow plus Dead Load plus 10 psf LL)</t>
  </si>
  <si>
    <t>D E S I G N   L O A D   C O M B I N A T I O N   (130 mph Wind plus Snow plus Dead Load plus 10psf LL)</t>
  </si>
  <si>
    <t>D E S I G N   L O A D   C O M B I N A T I O N   (140 mph Wind plus Snow plus Dead Load plus 10 psf LL)</t>
  </si>
  <si>
    <t>Blade Span Tables</t>
  </si>
  <si>
    <t>Section Properties :</t>
  </si>
  <si>
    <t>Area=</t>
  </si>
  <si>
    <r>
      <t>in</t>
    </r>
    <r>
      <rPr>
        <vertAlign val="superscript"/>
        <sz val="10"/>
        <color theme="1"/>
        <rFont val="Calibri"/>
        <family val="2"/>
        <scheme val="minor"/>
      </rPr>
      <t>2</t>
    </r>
  </si>
  <si>
    <r>
      <t>I</t>
    </r>
    <r>
      <rPr>
        <vertAlign val="subscript"/>
        <sz val="10"/>
        <color theme="1"/>
        <rFont val="Calibri"/>
        <family val="2"/>
        <scheme val="minor"/>
      </rPr>
      <t>x</t>
    </r>
    <r>
      <rPr>
        <sz val="10"/>
        <color theme="1"/>
        <rFont val="Calibri"/>
        <family val="2"/>
        <scheme val="minor"/>
      </rPr>
      <t>=</t>
    </r>
  </si>
  <si>
    <r>
      <t>in</t>
    </r>
    <r>
      <rPr>
        <vertAlign val="superscript"/>
        <sz val="10"/>
        <color theme="1"/>
        <rFont val="Calibri"/>
        <family val="2"/>
        <scheme val="minor"/>
      </rPr>
      <t>4</t>
    </r>
  </si>
  <si>
    <r>
      <t>I</t>
    </r>
    <r>
      <rPr>
        <vertAlign val="subscript"/>
        <sz val="10"/>
        <color theme="1"/>
        <rFont val="Calibri"/>
        <family val="2"/>
        <scheme val="minor"/>
      </rPr>
      <t>y</t>
    </r>
    <r>
      <rPr>
        <sz val="10"/>
        <color theme="1"/>
        <rFont val="Calibri"/>
        <family val="2"/>
        <scheme val="minor"/>
      </rPr>
      <t>=</t>
    </r>
  </si>
  <si>
    <r>
      <t>S</t>
    </r>
    <r>
      <rPr>
        <vertAlign val="subscript"/>
        <sz val="10"/>
        <color theme="1"/>
        <rFont val="Calibri"/>
        <family val="2"/>
        <scheme val="minor"/>
      </rPr>
      <t>x</t>
    </r>
    <r>
      <rPr>
        <sz val="10"/>
        <color theme="1"/>
        <rFont val="Calibri"/>
        <family val="2"/>
        <scheme val="minor"/>
      </rPr>
      <t>=</t>
    </r>
  </si>
  <si>
    <r>
      <t>in</t>
    </r>
    <r>
      <rPr>
        <vertAlign val="superscript"/>
        <sz val="10"/>
        <color theme="1"/>
        <rFont val="Calibri"/>
        <family val="2"/>
        <scheme val="minor"/>
      </rPr>
      <t>3</t>
    </r>
  </si>
  <si>
    <r>
      <t>S</t>
    </r>
    <r>
      <rPr>
        <vertAlign val="subscript"/>
        <sz val="10"/>
        <color theme="1"/>
        <rFont val="Calibri"/>
        <family val="2"/>
        <scheme val="minor"/>
      </rPr>
      <t>y</t>
    </r>
    <r>
      <rPr>
        <sz val="10"/>
        <color theme="1"/>
        <rFont val="Calibri"/>
        <family val="2"/>
        <scheme val="minor"/>
      </rPr>
      <t>=</t>
    </r>
  </si>
  <si>
    <t>Design Load:</t>
  </si>
  <si>
    <t>J=</t>
  </si>
  <si>
    <t>Defl. Criteria L/</t>
  </si>
  <si>
    <t>max span</t>
  </si>
  <si>
    <t>Table 1.0</t>
  </si>
  <si>
    <t>M A X   B L A D E   C A P A C I T Y   (psf)</t>
  </si>
  <si>
    <t>D E S I G N   P A R A M E T E R S</t>
  </si>
  <si>
    <t>Blade Length (in)</t>
  </si>
  <si>
    <t>Blade Angle (degrees)</t>
  </si>
  <si>
    <t>Capacity (psf)</t>
  </si>
  <si>
    <t>Stress (psi)</t>
  </si>
  <si>
    <t>Deflection</t>
  </si>
  <si>
    <t>Tributary Width (in)</t>
  </si>
  <si>
    <t>Closed</t>
  </si>
  <si>
    <t>Open</t>
  </si>
  <si>
    <t>Angled</t>
  </si>
  <si>
    <t>Fbx</t>
  </si>
  <si>
    <t>Fby</t>
  </si>
  <si>
    <t>(in.)</t>
  </si>
  <si>
    <t>If the blades can not withstand the design load in at an angle (orange) above, then the blades must be open to resist the design loads (blue) and it is recommended that the client be informed that the blades must be opened prior to a high wind or snow event to meet code. Some municipalities require the system to be designed with the blades in the closed position for all weather events.</t>
  </si>
  <si>
    <t>Beam Span Tables</t>
  </si>
  <si>
    <t>MWFRS</t>
  </si>
  <si>
    <t>For trellises that do not have a center beam, the fascia beam (tubes that run parallel to the blades) does not carry any load other than its own 2 inch tributary width and does not require a span table.</t>
  </si>
  <si>
    <t>For trellises that are attached to a structure along one or more sides, those beams are assumed to be anchored every 24" o.c. max and do not require span tables.</t>
  </si>
  <si>
    <t>Table 2.0</t>
  </si>
  <si>
    <t xml:space="preserve">  2" x 8" x 1/8"   B E A M   S P A N   T A B L E </t>
  </si>
  <si>
    <t>Center Beam Capacity (psf)</t>
  </si>
  <si>
    <t>Beam</t>
  </si>
  <si>
    <t>Tributary Width (in.)</t>
  </si>
  <si>
    <t>Span (in.)</t>
  </si>
  <si>
    <t xml:space="preserve">Center Rafters Trib Width </t>
  </si>
  <si>
    <t>Design Load</t>
  </si>
  <si>
    <t>Max Span</t>
  </si>
  <si>
    <t>Max w/ Dbl. Rafter</t>
  </si>
  <si>
    <t>Table 2.1</t>
  </si>
  <si>
    <t>End Beam Capacity (psf)</t>
  </si>
  <si>
    <t>Rafter Length</t>
  </si>
  <si>
    <t>Fascia Length</t>
  </si>
  <si>
    <t>Louver Length</t>
  </si>
  <si>
    <t>Which Trib Column to Use</t>
  </si>
  <si>
    <t>Center Rafters</t>
  </si>
  <si>
    <t>IF(Y72=48,VLOOKUP(N83,C67:C101,FALSE),IF(Y72=54,VLOOKUP(N85,D67:D101,FALSE)))</t>
  </si>
  <si>
    <t>2x8</t>
  </si>
  <si>
    <t xml:space="preserve">Apollo Only                    (no frame) </t>
  </si>
  <si>
    <t>No</t>
  </si>
  <si>
    <t xml:space="preserve">End Rafters Trib Width </t>
  </si>
  <si>
    <t>Max End  Rafter Span</t>
  </si>
  <si>
    <t xml:space="preserve"> Center Beam Length:</t>
  </si>
  <si>
    <t>in</t>
  </si>
  <si>
    <t>Table 2.2</t>
  </si>
  <si>
    <t>Fascia Beam Capacity (psf)</t>
  </si>
  <si>
    <t>Tributary Width of Center Beam (in.)</t>
  </si>
  <si>
    <t xml:space="preserve">Fascia Beam Trib Width </t>
  </si>
  <si>
    <t>Table 3.0</t>
  </si>
  <si>
    <t xml:space="preserve">  2" x 10" x 1/8"   B E A M   S P A N   T A B L E </t>
  </si>
  <si>
    <t>ONLY USED AS A  REFERENCE TO SEE THE INPUTS FROM "SPAN TABLE" SHEET</t>
  </si>
  <si>
    <t>Table 3.1</t>
  </si>
  <si>
    <t>Table 3.2</t>
  </si>
  <si>
    <t>no</t>
  </si>
  <si>
    <t>2x10</t>
  </si>
  <si>
    <t>Results</t>
  </si>
  <si>
    <t>BEAM SPAN CALCULATOR</t>
  </si>
  <si>
    <t>in color.</t>
  </si>
  <si>
    <r>
      <t xml:space="preserve">1. Input desired overall width ( = number of 8” louvers combined + 1" clearance between louver and frame at each end) 
2. Input length (Total length the direction the louvers run)
3. Select frame size from drop down menu (2x8 or 2x10)
4. Input desired # of bays (louver length 11’6” max)
5. Input wind load
6. Input snow load
*These spans are based upon having posts under the "Fascia" not the "Rafters". If the louvers are running perpendicular to the building and the posts are under the rafters (Rafters are the beams that support the louvers) you are only limited to the max span of the beam length of 24 feet. 
*This form is to be used as general </t>
    </r>
    <r>
      <rPr>
        <b/>
        <sz val="12"/>
        <color rgb="FFFF0000"/>
        <rFont val="Calibri"/>
        <family val="2"/>
        <scheme val="minor"/>
      </rPr>
      <t>guideline</t>
    </r>
    <r>
      <rPr>
        <sz val="12"/>
        <rFont val="Calibri"/>
        <family val="2"/>
        <scheme val="minor"/>
      </rPr>
      <t xml:space="preserve"> </t>
    </r>
    <r>
      <rPr>
        <b/>
        <sz val="12"/>
        <color rgb="FFFF0000"/>
        <rFont val="Calibri"/>
        <family val="2"/>
        <scheme val="minor"/>
      </rPr>
      <t>only</t>
    </r>
    <r>
      <rPr>
        <sz val="12"/>
        <rFont val="Calibri"/>
        <family val="2"/>
        <scheme val="minor"/>
      </rPr>
      <t xml:space="preserve"> and any calculations generated by using this form must be verified by a State Licensed Engineer.
</t>
    </r>
  </si>
  <si>
    <t xml:space="preserve"> NOTE: All Input Cells 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</si>
</sst>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1" x14ac:knownFonts="1">
    <font>
      <sz val="11"/>
      <color theme="1"/>
      <name val="Calibri"/>
      <family val="2"/>
      <scheme val="minor"/>
    </font>
    <font>
      <sz val="10"/>
      <color theme="1"/>
      <name val="Calibri"/>
      <family val="2"/>
      <scheme val="minor"/>
    </font>
    <font>
      <sz val="12"/>
      <color theme="1"/>
      <name val="Calibri"/>
      <family val="2"/>
      <scheme val="minor"/>
    </font>
    <font>
      <b/>
      <sz val="10"/>
      <color theme="1"/>
      <name val="Calibri"/>
      <family val="2"/>
      <scheme val="minor"/>
    </font>
    <font>
      <vertAlign val="superscript"/>
      <sz val="10"/>
      <color theme="1"/>
      <name val="Calibri"/>
      <family val="2"/>
      <scheme val="minor"/>
    </font>
    <font>
      <vertAlign val="subscript"/>
      <sz val="10"/>
      <color theme="1"/>
      <name val="Calibri"/>
      <family val="2"/>
      <scheme val="minor"/>
    </font>
    <font>
      <b/>
      <u/>
      <sz val="10"/>
      <color theme="1"/>
      <name val="Calibri"/>
      <family val="2"/>
      <scheme val="minor"/>
    </font>
    <font>
      <u/>
      <sz val="10"/>
      <color theme="1"/>
      <name val="Calibri"/>
      <family val="2"/>
      <scheme val="minor"/>
    </font>
    <font>
      <b/>
      <vertAlign val="subscript"/>
      <sz val="10"/>
      <color theme="1"/>
      <name val="Calibri"/>
      <family val="2"/>
      <scheme val="minor"/>
    </font>
    <font>
      <b/>
      <sz val="11"/>
      <color theme="1"/>
      <name val="Calibri"/>
      <family val="2"/>
      <scheme val="minor"/>
    </font>
    <font>
      <b/>
      <sz val="10"/>
      <color rgb="FFFF0000"/>
      <name val="Calibri"/>
      <family val="2"/>
      <scheme val="minor"/>
    </font>
    <font>
      <sz val="11"/>
      <color theme="0"/>
      <name val="Calibri"/>
      <family val="2"/>
      <scheme val="minor"/>
    </font>
    <font>
      <b/>
      <sz val="12"/>
      <color theme="1"/>
      <name val="Calibri"/>
      <family val="2"/>
      <scheme val="minor"/>
    </font>
    <font>
      <b/>
      <sz val="14"/>
      <color theme="1"/>
      <name val="Calibri"/>
      <family val="2"/>
      <scheme val="minor"/>
    </font>
    <font>
      <sz val="11"/>
      <name val="Calibri"/>
      <family val="2"/>
      <scheme val="minor"/>
    </font>
    <font>
      <b/>
      <sz val="11"/>
      <color theme="0"/>
      <name val="Calibri"/>
      <family val="2"/>
      <scheme val="minor"/>
    </font>
    <font>
      <b/>
      <sz val="22"/>
      <color theme="0"/>
      <name val="Calibri"/>
      <family val="2"/>
      <scheme val="minor"/>
    </font>
    <font>
      <b/>
      <sz val="16"/>
      <color theme="1"/>
      <name val="Calibri"/>
      <family val="2"/>
      <scheme val="minor"/>
    </font>
    <font>
      <b/>
      <sz val="16"/>
      <color rgb="FFE0611C"/>
      <name val="Calibri"/>
      <family val="2"/>
      <scheme val="minor"/>
    </font>
    <font>
      <sz val="12"/>
      <name val="Calibri"/>
      <family val="2"/>
      <scheme val="minor"/>
    </font>
    <font>
      <b/>
      <sz val="12"/>
      <color rgb="FFFF0000"/>
      <name val="Calibri"/>
      <family val="2"/>
      <scheme val="minor"/>
    </font>
  </fonts>
  <fills count="18">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4506668294322"/>
        <bgColor indexed="64"/>
      </patternFill>
    </fill>
    <fill>
      <patternFill patternType="solid">
        <fgColor theme="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E8E8E8"/>
        <bgColor indexed="64"/>
      </patternFill>
    </fill>
    <fill>
      <patternFill patternType="solid">
        <fgColor rgb="FFE0611C"/>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indexed="64"/>
      </bottom>
      <diagonal/>
    </border>
    <border>
      <left/>
      <right style="medium">
        <color rgb="FFFF0000"/>
      </right>
      <top/>
      <bottom style="medium">
        <color indexed="64"/>
      </bottom>
      <diagonal/>
    </border>
    <border>
      <left style="medium">
        <color rgb="FFFF0000"/>
      </left>
      <right/>
      <top style="medium">
        <color indexed="64"/>
      </top>
      <bottom/>
      <diagonal/>
    </border>
    <border>
      <left/>
      <right style="medium">
        <color rgb="FFFF0000"/>
      </right>
      <top style="medium">
        <color indexed="64"/>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medium">
        <color rgb="FFFF0000"/>
      </right>
      <top/>
      <bottom/>
      <diagonal/>
    </border>
    <border>
      <left style="medium">
        <color rgb="FFFF0000"/>
      </left>
      <right style="medium">
        <color indexed="64"/>
      </right>
      <top/>
      <bottom style="medium">
        <color indexed="64"/>
      </bottom>
      <diagonal/>
    </border>
    <border>
      <left/>
      <right/>
      <top style="thin">
        <color theme="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347">
    <xf numFmtId="0" fontId="0" fillId="0" borderId="0" xfId="0"/>
    <xf numFmtId="0" fontId="1" fillId="0" borderId="0" xfId="0" applyFont="1"/>
    <xf numFmtId="0" fontId="2" fillId="0" borderId="0" xfId="0" applyFont="1"/>
    <xf numFmtId="0" fontId="1" fillId="0" borderId="4" xfId="0" applyFont="1" applyBorder="1" applyAlignment="1">
      <alignment horizontal="center"/>
    </xf>
    <xf numFmtId="164" fontId="1" fillId="0" borderId="0" xfId="0" applyNumberFormat="1"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xf>
    <xf numFmtId="14" fontId="1" fillId="0" borderId="0" xfId="0" applyNumberFormat="1" applyFont="1"/>
    <xf numFmtId="165" fontId="1" fillId="0" borderId="0" xfId="0" applyNumberFormat="1" applyFont="1" applyAlignment="1">
      <alignment horizontal="center"/>
    </xf>
    <xf numFmtId="0" fontId="1" fillId="0" borderId="0" xfId="0" applyFont="1" applyAlignment="1"/>
    <xf numFmtId="0" fontId="3" fillId="0" borderId="0" xfId="0" applyFont="1" applyAlignment="1">
      <alignment horizontal="center"/>
    </xf>
    <xf numFmtId="165" fontId="1" fillId="0" borderId="9" xfId="0" applyNumberFormat="1" applyFont="1" applyBorder="1" applyAlignment="1">
      <alignment horizontal="center"/>
    </xf>
    <xf numFmtId="165" fontId="1" fillId="0" borderId="10" xfId="0" applyNumberFormat="1" applyFont="1" applyBorder="1" applyAlignment="1">
      <alignment horizontal="center"/>
    </xf>
    <xf numFmtId="165" fontId="1" fillId="0" borderId="11" xfId="0" applyNumberFormat="1" applyFont="1" applyBorder="1" applyAlignment="1">
      <alignment horizontal="center"/>
    </xf>
    <xf numFmtId="165" fontId="1" fillId="0" borderId="12" xfId="0" applyNumberFormat="1" applyFont="1" applyBorder="1" applyAlignment="1">
      <alignment horizontal="center"/>
    </xf>
    <xf numFmtId="165" fontId="1" fillId="0" borderId="13" xfId="0" applyNumberFormat="1" applyFont="1" applyBorder="1" applyAlignment="1">
      <alignment horizontal="center"/>
    </xf>
    <xf numFmtId="165" fontId="1" fillId="0" borderId="14" xfId="0" applyNumberFormat="1" applyFont="1" applyBorder="1" applyAlignment="1">
      <alignment horizontal="center"/>
    </xf>
    <xf numFmtId="165" fontId="1" fillId="0" borderId="15" xfId="0" applyNumberFormat="1" applyFont="1" applyBorder="1" applyAlignment="1">
      <alignment horizontal="center"/>
    </xf>
    <xf numFmtId="165" fontId="1" fillId="0" borderId="16" xfId="0" applyNumberFormat="1" applyFont="1" applyBorder="1" applyAlignment="1">
      <alignment horizontal="center"/>
    </xf>
    <xf numFmtId="165" fontId="1" fillId="0" borderId="17" xfId="0" applyNumberFormat="1" applyFont="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8" xfId="0" applyFont="1" applyFill="1" applyBorder="1" applyAlignment="1">
      <alignment horizontal="center"/>
    </xf>
    <xf numFmtId="0" fontId="3" fillId="4" borderId="19" xfId="0" applyFont="1" applyFill="1" applyBorder="1" applyAlignment="1">
      <alignment horizontal="center"/>
    </xf>
    <xf numFmtId="0" fontId="3" fillId="4" borderId="20" xfId="0" applyFont="1" applyFill="1" applyBorder="1" applyAlignment="1">
      <alignment horizontal="center"/>
    </xf>
    <xf numFmtId="0" fontId="3" fillId="4" borderId="15" xfId="0" applyFont="1" applyFill="1" applyBorder="1" applyAlignment="1">
      <alignment horizontal="center"/>
    </xf>
    <xf numFmtId="165" fontId="1" fillId="0" borderId="21" xfId="0" applyNumberFormat="1" applyFont="1" applyBorder="1" applyAlignment="1">
      <alignment horizontal="center"/>
    </xf>
    <xf numFmtId="165" fontId="1" fillId="0" borderId="22" xfId="0" applyNumberFormat="1" applyFont="1" applyBorder="1" applyAlignment="1">
      <alignment horizontal="center"/>
    </xf>
    <xf numFmtId="165" fontId="1" fillId="0" borderId="23" xfId="0" applyNumberFormat="1" applyFont="1" applyBorder="1" applyAlignment="1">
      <alignment horizontal="center"/>
    </xf>
    <xf numFmtId="0" fontId="3" fillId="4" borderId="24" xfId="0" applyFont="1" applyFill="1" applyBorder="1" applyAlignment="1">
      <alignment horizontal="center"/>
    </xf>
    <xf numFmtId="0" fontId="3" fillId="4" borderId="26" xfId="0" applyFont="1" applyFill="1" applyBorder="1" applyAlignment="1">
      <alignment horizontal="center"/>
    </xf>
    <xf numFmtId="0" fontId="3" fillId="4" borderId="25" xfId="0" applyFont="1" applyFill="1" applyBorder="1" applyAlignment="1">
      <alignment horizontal="center"/>
    </xf>
    <xf numFmtId="0" fontId="1" fillId="4" borderId="27" xfId="0" applyFont="1" applyFill="1" applyBorder="1" applyAlignment="1">
      <alignment horizontal="center"/>
    </xf>
    <xf numFmtId="0" fontId="1" fillId="4" borderId="28" xfId="0" applyFont="1" applyFill="1" applyBorder="1" applyAlignment="1">
      <alignment horizontal="center"/>
    </xf>
    <xf numFmtId="0" fontId="1" fillId="4" borderId="29" xfId="0" applyFont="1" applyFill="1" applyBorder="1" applyAlignment="1">
      <alignment horizontal="center"/>
    </xf>
    <xf numFmtId="0" fontId="1" fillId="3" borderId="0" xfId="0" applyFont="1" applyFill="1"/>
    <xf numFmtId="0" fontId="1" fillId="2" borderId="0" xfId="0" applyFont="1" applyFill="1" applyAlignment="1">
      <alignment horizontal="center"/>
    </xf>
    <xf numFmtId="0" fontId="1" fillId="2" borderId="0" xfId="0" applyFont="1" applyFill="1"/>
    <xf numFmtId="0" fontId="2" fillId="2" borderId="0" xfId="0" applyFont="1" applyFill="1"/>
    <xf numFmtId="0" fontId="3" fillId="2" borderId="0" xfId="0" applyFont="1" applyFill="1" applyBorder="1" applyAlignment="1"/>
    <xf numFmtId="0" fontId="1" fillId="2" borderId="0" xfId="0" applyFont="1" applyFill="1" applyBorder="1" applyAlignment="1">
      <alignment horizontal="center"/>
    </xf>
    <xf numFmtId="164" fontId="1" fillId="2" borderId="0" xfId="0" applyNumberFormat="1" applyFont="1" applyFill="1" applyBorder="1" applyAlignment="1">
      <alignment horizontal="center"/>
    </xf>
    <xf numFmtId="0" fontId="1" fillId="2" borderId="0" xfId="0" applyFont="1" applyFill="1" applyBorder="1"/>
    <xf numFmtId="0" fontId="3" fillId="2" borderId="0" xfId="0" applyFont="1" applyFill="1" applyAlignment="1"/>
    <xf numFmtId="1" fontId="1" fillId="2" borderId="0" xfId="0" applyNumberFormat="1" applyFont="1" applyFill="1" applyAlignment="1">
      <alignment horizontal="center"/>
    </xf>
    <xf numFmtId="164" fontId="1" fillId="2" borderId="0" xfId="0" applyNumberFormat="1" applyFont="1" applyFill="1" applyAlignment="1">
      <alignment horizontal="center"/>
    </xf>
    <xf numFmtId="165" fontId="1" fillId="7" borderId="12" xfId="0" applyNumberFormat="1" applyFont="1" applyFill="1" applyBorder="1" applyAlignment="1">
      <alignment horizontal="center"/>
    </xf>
    <xf numFmtId="165" fontId="1" fillId="7" borderId="14" xfId="0" applyNumberFormat="1" applyFont="1" applyFill="1" applyBorder="1" applyAlignment="1">
      <alignment horizontal="center"/>
    </xf>
    <xf numFmtId="165" fontId="1" fillId="7" borderId="17" xfId="0" applyNumberFormat="1" applyFont="1" applyFill="1" applyBorder="1" applyAlignment="1">
      <alignment horizontal="center"/>
    </xf>
    <xf numFmtId="0" fontId="3" fillId="4" borderId="13" xfId="0" applyFont="1" applyFill="1" applyBorder="1" applyAlignment="1">
      <alignment horizontal="center"/>
    </xf>
    <xf numFmtId="165" fontId="3" fillId="0" borderId="0" xfId="0" applyNumberFormat="1" applyFont="1" applyFill="1" applyBorder="1" applyAlignment="1">
      <alignment horizontal="center"/>
    </xf>
    <xf numFmtId="0" fontId="0" fillId="3" borderId="0" xfId="0" applyFill="1"/>
    <xf numFmtId="0" fontId="3" fillId="4" borderId="34" xfId="0" applyFont="1" applyFill="1" applyBorder="1" applyAlignment="1">
      <alignment horizontal="center"/>
    </xf>
    <xf numFmtId="0" fontId="1" fillId="0" borderId="36" xfId="0" applyFont="1" applyBorder="1" applyAlignment="1">
      <alignment horizontal="center"/>
    </xf>
    <xf numFmtId="0" fontId="1" fillId="0" borderId="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42" xfId="0" applyFont="1" applyBorder="1" applyAlignment="1">
      <alignment horizontal="center" vertical="center"/>
    </xf>
    <xf numFmtId="0" fontId="1" fillId="0" borderId="32" xfId="0" applyFont="1" applyBorder="1" applyAlignment="1">
      <alignment horizontal="center" vertical="center"/>
    </xf>
    <xf numFmtId="165" fontId="1" fillId="0" borderId="42" xfId="0" applyNumberFormat="1" applyFont="1" applyBorder="1" applyAlignment="1">
      <alignment horizontal="center"/>
    </xf>
    <xf numFmtId="165" fontId="1" fillId="9" borderId="10" xfId="0" applyNumberFormat="1" applyFont="1" applyFill="1" applyBorder="1" applyAlignment="1">
      <alignment horizontal="center"/>
    </xf>
    <xf numFmtId="165" fontId="1" fillId="9" borderId="13" xfId="0" applyNumberFormat="1" applyFont="1" applyFill="1" applyBorder="1" applyAlignment="1">
      <alignment horizontal="center"/>
    </xf>
    <xf numFmtId="165" fontId="1" fillId="9" borderId="15" xfId="0" applyNumberFormat="1" applyFont="1" applyFill="1" applyBorder="1" applyAlignment="1">
      <alignment horizontal="center"/>
    </xf>
    <xf numFmtId="165" fontId="1" fillId="0" borderId="43" xfId="0" applyNumberFormat="1" applyFont="1" applyBorder="1" applyAlignment="1">
      <alignment horizontal="center"/>
    </xf>
    <xf numFmtId="165" fontId="1" fillId="6" borderId="9" xfId="0" applyNumberFormat="1" applyFont="1" applyFill="1" applyBorder="1" applyAlignment="1">
      <alignment horizontal="center"/>
    </xf>
    <xf numFmtId="165" fontId="1" fillId="6" borderId="44" xfId="0" applyNumberFormat="1" applyFont="1" applyFill="1" applyBorder="1" applyAlignment="1">
      <alignment horizontal="center"/>
    </xf>
    <xf numFmtId="165" fontId="1" fillId="0" borderId="45" xfId="0" applyNumberFormat="1" applyFont="1" applyBorder="1" applyAlignment="1">
      <alignment horizontal="center"/>
    </xf>
    <xf numFmtId="165" fontId="1" fillId="6" borderId="11" xfId="0" applyNumberFormat="1" applyFont="1" applyFill="1" applyBorder="1" applyAlignment="1">
      <alignment horizontal="center"/>
    </xf>
    <xf numFmtId="0" fontId="1" fillId="10" borderId="41" xfId="0" applyFont="1" applyFill="1" applyBorder="1"/>
    <xf numFmtId="0" fontId="1" fillId="10" borderId="41" xfId="0" applyFont="1" applyFill="1" applyBorder="1" applyAlignment="1">
      <alignment horizontal="center"/>
    </xf>
    <xf numFmtId="165" fontId="1" fillId="3" borderId="0" xfId="0" applyNumberFormat="1" applyFont="1" applyFill="1"/>
    <xf numFmtId="0" fontId="1" fillId="11" borderId="0" xfId="0" applyFont="1" applyFill="1"/>
    <xf numFmtId="0" fontId="3" fillId="0" borderId="0" xfId="0" applyFont="1" applyBorder="1" applyAlignment="1">
      <alignment horizontal="center"/>
    </xf>
    <xf numFmtId="165" fontId="1" fillId="0" borderId="0" xfId="0" applyNumberFormat="1" applyFont="1" applyFill="1" applyBorder="1" applyAlignment="1">
      <alignment horizontal="center"/>
    </xf>
    <xf numFmtId="0" fontId="1" fillId="12" borderId="0" xfId="0" applyFont="1" applyFill="1"/>
    <xf numFmtId="0" fontId="0" fillId="0" borderId="47" xfId="0" applyBorder="1"/>
    <xf numFmtId="0" fontId="0" fillId="0" borderId="0" xfId="0" applyBorder="1"/>
    <xf numFmtId="0" fontId="0" fillId="0" borderId="5" xfId="0" applyBorder="1"/>
    <xf numFmtId="0" fontId="0" fillId="0" borderId="8" xfId="0" applyBorder="1"/>
    <xf numFmtId="0" fontId="9" fillId="0" borderId="47" xfId="0" applyFont="1" applyBorder="1"/>
    <xf numFmtId="0" fontId="9" fillId="0" borderId="0" xfId="0" applyFont="1" applyBorder="1"/>
    <xf numFmtId="0" fontId="9" fillId="0" borderId="0" xfId="0" applyFont="1" applyBorder="1" applyAlignment="1">
      <alignment horizontal="center"/>
    </xf>
    <xf numFmtId="0" fontId="0" fillId="0" borderId="0" xfId="0" applyBorder="1" applyAlignment="1">
      <alignment horizontal="center" vertical="center"/>
    </xf>
    <xf numFmtId="0" fontId="0" fillId="0" borderId="24" xfId="0" applyBorder="1"/>
    <xf numFmtId="0" fontId="0" fillId="0" borderId="46" xfId="0" applyBorder="1"/>
    <xf numFmtId="0" fontId="1" fillId="3" borderId="9" xfId="0" applyFont="1" applyFill="1" applyBorder="1" applyAlignment="1">
      <alignment horizontal="left"/>
    </xf>
    <xf numFmtId="0" fontId="1" fillId="3" borderId="9" xfId="0" applyFont="1" applyFill="1" applyBorder="1" applyAlignment="1">
      <alignment horizontal="center"/>
    </xf>
    <xf numFmtId="0" fontId="0" fillId="0" borderId="17" xfId="0" applyBorder="1" applyAlignment="1">
      <alignment horizontal="center"/>
    </xf>
    <xf numFmtId="0" fontId="1" fillId="3" borderId="50" xfId="0" applyFont="1" applyFill="1" applyBorder="1" applyAlignment="1">
      <alignment horizontal="center" vertical="center"/>
    </xf>
    <xf numFmtId="0" fontId="1" fillId="3" borderId="49" xfId="0" applyFont="1" applyFill="1" applyBorder="1" applyAlignment="1">
      <alignment horizontal="center" vertical="center"/>
    </xf>
    <xf numFmtId="165" fontId="1" fillId="12" borderId="0" xfId="0" applyNumberFormat="1" applyFont="1" applyFill="1"/>
    <xf numFmtId="1" fontId="1" fillId="0" borderId="10" xfId="0" applyNumberFormat="1" applyFont="1" applyBorder="1" applyAlignment="1">
      <alignment horizontal="center"/>
    </xf>
    <xf numFmtId="1" fontId="3" fillId="4" borderId="16" xfId="0" applyNumberFormat="1" applyFont="1" applyFill="1" applyBorder="1" applyAlignment="1">
      <alignment horizontal="center"/>
    </xf>
    <xf numFmtId="0" fontId="1" fillId="3" borderId="0" xfId="0" applyFont="1" applyFill="1" applyBorder="1" applyAlignment="1"/>
    <xf numFmtId="0" fontId="1" fillId="3" borderId="5" xfId="0" applyFont="1" applyFill="1" applyBorder="1" applyAlignment="1">
      <alignment horizontal="center"/>
    </xf>
    <xf numFmtId="0" fontId="1" fillId="3" borderId="8" xfId="0" applyFont="1" applyFill="1" applyBorder="1" applyAlignment="1">
      <alignment horizontal="center"/>
    </xf>
    <xf numFmtId="1" fontId="1" fillId="3" borderId="3" xfId="0" applyNumberFormat="1" applyFont="1" applyFill="1" applyBorder="1" applyAlignment="1">
      <alignment horizontal="center"/>
    </xf>
    <xf numFmtId="0" fontId="0" fillId="0" borderId="12" xfId="0" applyBorder="1" applyAlignment="1" applyProtection="1">
      <alignment horizontal="center"/>
      <protection locked="0"/>
    </xf>
    <xf numFmtId="1" fontId="0" fillId="0" borderId="5" xfId="0" applyNumberFormat="1" applyBorder="1"/>
    <xf numFmtId="0" fontId="1" fillId="3" borderId="0" xfId="0" applyFont="1" applyFill="1" applyBorder="1"/>
    <xf numFmtId="0" fontId="1" fillId="3" borderId="63" xfId="0" applyFont="1" applyFill="1" applyBorder="1" applyAlignment="1">
      <alignment horizontal="center"/>
    </xf>
    <xf numFmtId="1" fontId="3" fillId="4" borderId="28" xfId="0" applyNumberFormat="1" applyFont="1" applyFill="1" applyBorder="1" applyAlignment="1">
      <alignment horizontal="center"/>
    </xf>
    <xf numFmtId="0" fontId="0" fillId="3" borderId="0" xfId="0" applyFill="1" applyBorder="1"/>
    <xf numFmtId="0" fontId="0" fillId="13" borderId="0" xfId="0" applyFill="1"/>
    <xf numFmtId="0" fontId="0" fillId="13" borderId="0" xfId="0" applyFill="1" applyAlignment="1">
      <alignment horizontal="center" vertical="center"/>
    </xf>
    <xf numFmtId="0" fontId="1" fillId="14" borderId="0" xfId="0" applyFont="1" applyFill="1"/>
    <xf numFmtId="164" fontId="1" fillId="14" borderId="0" xfId="0" applyNumberFormat="1" applyFont="1" applyFill="1" applyBorder="1" applyAlignment="1">
      <alignment horizontal="center"/>
    </xf>
    <xf numFmtId="0" fontId="1" fillId="14" borderId="0" xfId="0" applyFont="1" applyFill="1" applyBorder="1" applyAlignment="1">
      <alignment horizontal="center"/>
    </xf>
    <xf numFmtId="0" fontId="11" fillId="15" borderId="0" xfId="0" applyFont="1" applyFill="1"/>
    <xf numFmtId="0" fontId="11" fillId="0" borderId="0" xfId="0" applyFont="1"/>
    <xf numFmtId="0" fontId="11" fillId="0" borderId="0" xfId="0" applyFont="1" applyBorder="1"/>
    <xf numFmtId="0" fontId="11" fillId="15" borderId="0" xfId="0" applyFont="1" applyFill="1" applyBorder="1"/>
    <xf numFmtId="0" fontId="0" fillId="0" borderId="0" xfId="0" applyBorder="1" applyAlignment="1">
      <alignment vertical="top" wrapText="1"/>
    </xf>
    <xf numFmtId="0" fontId="0" fillId="0" borderId="0" xfId="0" applyAlignment="1"/>
    <xf numFmtId="0" fontId="14" fillId="15" borderId="0" xfId="0" applyFont="1" applyFill="1"/>
    <xf numFmtId="0" fontId="14" fillId="0" borderId="0" xfId="0" applyFont="1"/>
    <xf numFmtId="0" fontId="0" fillId="0" borderId="7" xfId="0" applyBorder="1" applyAlignment="1">
      <alignment horizontal="center"/>
    </xf>
    <xf numFmtId="0" fontId="0" fillId="0" borderId="8" xfId="0" applyBorder="1" applyAlignment="1">
      <alignment horizontal="center"/>
    </xf>
    <xf numFmtId="0" fontId="1" fillId="3" borderId="0" xfId="0" applyFont="1" applyFill="1" applyAlignment="1">
      <alignment horizontal="center"/>
    </xf>
    <xf numFmtId="0" fontId="1" fillId="0" borderId="0" xfId="0" applyFont="1" applyAlignment="1">
      <alignment horizontal="center"/>
    </xf>
    <xf numFmtId="0" fontId="3" fillId="2" borderId="0" xfId="0" applyFont="1" applyFill="1" applyAlignment="1">
      <alignment horizontal="center"/>
    </xf>
    <xf numFmtId="0" fontId="0" fillId="0" borderId="15" xfId="0" applyBorder="1" applyAlignment="1">
      <alignment horizontal="center"/>
    </xf>
    <xf numFmtId="0" fontId="0" fillId="0" borderId="16" xfId="0" applyBorder="1" applyAlignment="1">
      <alignment horizontal="center"/>
    </xf>
    <xf numFmtId="0" fontId="1" fillId="3" borderId="0" xfId="0" applyFont="1" applyFill="1" applyBorder="1" applyAlignment="1">
      <alignment horizontal="center"/>
    </xf>
    <xf numFmtId="0" fontId="0" fillId="3" borderId="0" xfId="0" applyFill="1" applyBorder="1" applyAlignment="1">
      <alignment horizontal="center" vertical="center"/>
    </xf>
    <xf numFmtId="0" fontId="11" fillId="15" borderId="0" xfId="0" applyFont="1" applyFill="1" applyProtection="1">
      <protection hidden="1"/>
    </xf>
    <xf numFmtId="0" fontId="11" fillId="0" borderId="0" xfId="0" applyFont="1" applyBorder="1" applyProtection="1">
      <protection hidden="1"/>
    </xf>
    <xf numFmtId="0" fontId="11" fillId="0" borderId="0" xfId="0" applyFont="1" applyProtection="1">
      <protection hidden="1"/>
    </xf>
    <xf numFmtId="0" fontId="14" fillId="0" borderId="0" xfId="0" applyFont="1" applyProtection="1">
      <protection hidden="1"/>
    </xf>
    <xf numFmtId="0" fontId="14" fillId="0" borderId="0" xfId="0" applyFont="1" applyBorder="1" applyProtection="1">
      <protection hidden="1"/>
    </xf>
    <xf numFmtId="0" fontId="14" fillId="15" borderId="0" xfId="0" applyFont="1" applyFill="1" applyProtection="1">
      <protection hidden="1"/>
    </xf>
    <xf numFmtId="0" fontId="14" fillId="15" borderId="64" xfId="0" applyFont="1" applyFill="1" applyBorder="1"/>
    <xf numFmtId="0" fontId="11" fillId="0" borderId="0" xfId="0" applyFont="1" applyBorder="1" applyAlignment="1">
      <alignment vertical="top" wrapText="1"/>
    </xf>
    <xf numFmtId="0" fontId="13" fillId="0" borderId="0" xfId="0" applyFont="1" applyBorder="1" applyAlignment="1">
      <alignment horizontal="center" vertical="center" wrapText="1"/>
    </xf>
    <xf numFmtId="0" fontId="0" fillId="0" borderId="7" xfId="0" applyBorder="1"/>
    <xf numFmtId="0" fontId="0" fillId="0" borderId="68" xfId="0" applyBorder="1" applyAlignment="1">
      <alignment horizontal="center" vertical="center"/>
    </xf>
    <xf numFmtId="0" fontId="0" fillId="0" borderId="67" xfId="0"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9" fillId="0" borderId="8" xfId="0" applyFont="1" applyBorder="1" applyAlignment="1">
      <alignment horizontal="center" vertical="center"/>
    </xf>
    <xf numFmtId="0" fontId="0" fillId="8" borderId="68" xfId="0" applyFill="1" applyBorder="1" applyAlignment="1">
      <alignment horizontal="center" vertical="center"/>
    </xf>
    <xf numFmtId="0" fontId="0" fillId="0" borderId="0" xfId="0" applyAlignment="1">
      <alignment vertical="center"/>
    </xf>
    <xf numFmtId="0" fontId="0" fillId="0" borderId="4" xfId="0" applyBorder="1" applyAlignment="1">
      <alignment vertical="center"/>
    </xf>
    <xf numFmtId="0" fontId="11" fillId="15" borderId="0" xfId="0" applyFont="1" applyFill="1" applyAlignment="1">
      <alignment vertical="center"/>
    </xf>
    <xf numFmtId="2" fontId="0" fillId="15" borderId="68" xfId="0" applyNumberFormat="1" applyFill="1" applyBorder="1" applyAlignment="1">
      <alignment horizontal="center" vertical="center"/>
    </xf>
    <xf numFmtId="0" fontId="0" fillId="0" borderId="0" xfId="0" applyBorder="1" applyAlignment="1">
      <alignment vertical="center"/>
    </xf>
    <xf numFmtId="0" fontId="9" fillId="0" borderId="0" xfId="0" applyFont="1" applyBorder="1" applyAlignment="1">
      <alignment horizontal="center" vertical="center"/>
    </xf>
    <xf numFmtId="0" fontId="0" fillId="8" borderId="68" xfId="0" applyFill="1" applyBorder="1" applyAlignment="1">
      <alignment horizontal="center" vertical="center" wrapText="1"/>
    </xf>
    <xf numFmtId="0" fontId="0" fillId="8" borderId="8" xfId="0" applyFill="1" applyBorder="1" applyAlignment="1">
      <alignment horizontal="center" vertical="center"/>
    </xf>
    <xf numFmtId="0" fontId="11" fillId="0" borderId="0" xfId="0" applyFont="1" applyBorder="1" applyAlignment="1">
      <alignment vertical="center" wrapText="1"/>
    </xf>
    <xf numFmtId="0" fontId="11" fillId="0" borderId="0" xfId="0" applyFont="1" applyAlignment="1">
      <alignment vertical="center"/>
    </xf>
    <xf numFmtId="0" fontId="14" fillId="15" borderId="0" xfId="0" applyFont="1" applyFill="1" applyAlignment="1">
      <alignment vertical="center"/>
    </xf>
    <xf numFmtId="0" fontId="11" fillId="15" borderId="65" xfId="0" applyFont="1" applyFill="1" applyBorder="1" applyAlignment="1">
      <alignment horizontal="center" vertical="center"/>
    </xf>
    <xf numFmtId="0" fontId="14" fillId="0" borderId="0" xfId="0" applyFont="1" applyFill="1" applyAlignment="1">
      <alignment vertical="center"/>
    </xf>
    <xf numFmtId="0" fontId="14" fillId="0" borderId="0" xfId="0" applyFont="1" applyAlignment="1">
      <alignment vertical="center"/>
    </xf>
    <xf numFmtId="0" fontId="0" fillId="0" borderId="0" xfId="0" applyFill="1" applyBorder="1" applyAlignment="1">
      <alignment vertical="center"/>
    </xf>
    <xf numFmtId="0" fontId="12" fillId="0" borderId="0" xfId="0" applyFont="1" applyFill="1" applyBorder="1" applyAlignment="1">
      <alignment vertical="center"/>
    </xf>
    <xf numFmtId="0" fontId="11" fillId="15" borderId="0" xfId="0" applyFont="1" applyFill="1" applyBorder="1" applyAlignment="1">
      <alignment vertical="center"/>
    </xf>
    <xf numFmtId="0" fontId="14" fillId="15" borderId="0" xfId="0" applyFont="1" applyFill="1" applyBorder="1" applyAlignment="1">
      <alignment vertical="center"/>
    </xf>
    <xf numFmtId="0" fontId="16" fillId="0" borderId="0" xfId="0" applyFont="1" applyBorder="1" applyAlignment="1">
      <alignment vertical="center" textRotation="255"/>
    </xf>
    <xf numFmtId="164" fontId="0" fillId="15" borderId="68" xfId="0" applyNumberFormat="1" applyFill="1" applyBorder="1" applyAlignment="1">
      <alignment horizontal="center" vertical="center"/>
    </xf>
    <xf numFmtId="0" fontId="14" fillId="15" borderId="69" xfId="0" applyFont="1" applyFill="1" applyBorder="1" applyAlignment="1">
      <alignment vertical="center"/>
    </xf>
    <xf numFmtId="0" fontId="14" fillId="0" borderId="69" xfId="0" applyFont="1" applyBorder="1" applyAlignment="1">
      <alignment vertical="center"/>
    </xf>
    <xf numFmtId="0" fontId="15" fillId="17" borderId="6" xfId="0" applyFont="1" applyFill="1" applyBorder="1" applyAlignment="1" applyProtection="1">
      <alignment horizontal="center" vertical="center"/>
      <protection locked="0"/>
    </xf>
    <xf numFmtId="0" fontId="15" fillId="17" borderId="67" xfId="0" applyFont="1" applyFill="1" applyBorder="1" applyAlignment="1" applyProtection="1">
      <alignment horizontal="center" vertical="center"/>
      <protection locked="0"/>
    </xf>
    <xf numFmtId="0" fontId="15" fillId="17" borderId="68" xfId="0" applyFont="1" applyFill="1" applyBorder="1" applyAlignment="1" applyProtection="1">
      <alignment horizontal="center" vertical="center"/>
      <protection locked="0"/>
    </xf>
    <xf numFmtId="0" fontId="15" fillId="17" borderId="66" xfId="0" applyFont="1" applyFill="1" applyBorder="1" applyAlignment="1" applyProtection="1">
      <alignment horizontal="center" vertical="center"/>
      <protection locked="0"/>
    </xf>
    <xf numFmtId="0" fontId="15" fillId="17" borderId="8" xfId="0" applyFont="1" applyFill="1" applyBorder="1" applyAlignment="1" applyProtection="1">
      <alignment horizontal="center" vertical="center"/>
      <protection locked="0"/>
    </xf>
    <xf numFmtId="0" fontId="15" fillId="17" borderId="3" xfId="0" applyFont="1" applyFill="1" applyBorder="1" applyAlignment="1" applyProtection="1">
      <alignment horizontal="center" vertical="center"/>
      <protection locked="0"/>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8" fillId="17" borderId="0" xfId="0" applyFont="1" applyFill="1" applyBorder="1" applyAlignment="1">
      <alignment horizontal="center" vertical="center"/>
    </xf>
    <xf numFmtId="0" fontId="0" fillId="0" borderId="0" xfId="0" applyAlignment="1">
      <alignment horizont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1" fillId="15" borderId="67" xfId="0" applyFont="1" applyFill="1" applyBorder="1" applyAlignment="1">
      <alignment horizontal="center" vertical="center"/>
    </xf>
    <xf numFmtId="0" fontId="11" fillId="15" borderId="65" xfId="0" applyFont="1" applyFill="1" applyBorder="1" applyAlignment="1">
      <alignment horizontal="center" vertical="center"/>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 xfId="0" applyBorder="1" applyAlignment="1">
      <alignment horizontal="center" vertical="center"/>
    </xf>
    <xf numFmtId="0" fontId="13" fillId="0" borderId="0" xfId="0" applyFont="1" applyBorder="1" applyAlignment="1">
      <alignment horizontal="center" vertical="center" wrapText="1"/>
    </xf>
    <xf numFmtId="0" fontId="12" fillId="16" borderId="1" xfId="0" applyFont="1" applyFill="1" applyBorder="1" applyAlignment="1">
      <alignment horizontal="center" vertical="center"/>
    </xf>
    <xf numFmtId="0" fontId="12" fillId="16" borderId="3" xfId="0" applyFont="1" applyFill="1" applyBorder="1" applyAlignment="1">
      <alignment horizontal="center" vertical="center"/>
    </xf>
    <xf numFmtId="0" fontId="12" fillId="16" borderId="6" xfId="0" applyFont="1" applyFill="1" applyBorder="1" applyAlignment="1">
      <alignment horizontal="center" vertical="center"/>
    </xf>
    <xf numFmtId="0" fontId="12" fillId="16" borderId="8" xfId="0" applyFont="1" applyFill="1" applyBorder="1" applyAlignment="1">
      <alignment horizontal="center" vertical="center"/>
    </xf>
    <xf numFmtId="0" fontId="12" fillId="16" borderId="67" xfId="0" applyFont="1" applyFill="1" applyBorder="1" applyAlignment="1">
      <alignment horizontal="center" vertical="center"/>
    </xf>
    <xf numFmtId="0" fontId="12" fillId="16" borderId="66" xfId="0" applyFont="1" applyFill="1" applyBorder="1" applyAlignment="1">
      <alignment horizontal="center" vertical="center"/>
    </xf>
    <xf numFmtId="0" fontId="9" fillId="0" borderId="67"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8" fillId="0" borderId="0" xfId="0" applyFont="1" applyBorder="1" applyAlignment="1">
      <alignment horizontal="center" vertical="center"/>
    </xf>
    <xf numFmtId="0" fontId="9" fillId="16" borderId="1" xfId="0" applyFont="1" applyFill="1" applyBorder="1" applyAlignment="1">
      <alignment horizontal="center" vertical="center" wrapText="1"/>
    </xf>
    <xf numFmtId="0" fontId="9" fillId="16" borderId="3" xfId="0" applyFont="1" applyFill="1" applyBorder="1" applyAlignment="1">
      <alignment horizontal="center" vertical="center" wrapText="1"/>
    </xf>
    <xf numFmtId="0" fontId="9" fillId="16" borderId="6" xfId="0" applyFont="1" applyFill="1" applyBorder="1" applyAlignment="1">
      <alignment horizontal="center" vertical="center" wrapText="1"/>
    </xf>
    <xf numFmtId="0" fontId="9" fillId="16" borderId="8" xfId="0" applyFont="1" applyFill="1" applyBorder="1" applyAlignment="1">
      <alignment horizontal="center" vertical="center" wrapText="1"/>
    </xf>
    <xf numFmtId="0" fontId="0" fillId="0" borderId="3" xfId="0"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12" fillId="0" borderId="65" xfId="0" applyFont="1" applyFill="1" applyBorder="1" applyAlignment="1">
      <alignment horizontal="center" vertical="center"/>
    </xf>
    <xf numFmtId="0" fontId="12" fillId="0" borderId="66" xfId="0" applyFont="1" applyFill="1" applyBorder="1" applyAlignment="1">
      <alignment horizontal="center" vertical="center"/>
    </xf>
    <xf numFmtId="0" fontId="17" fillId="16" borderId="67" xfId="0" applyFont="1" applyFill="1" applyBorder="1" applyAlignment="1">
      <alignment horizontal="center" vertical="center"/>
    </xf>
    <xf numFmtId="0" fontId="17" fillId="16" borderId="65" xfId="0" applyFont="1" applyFill="1" applyBorder="1" applyAlignment="1">
      <alignment horizontal="center" vertical="center"/>
    </xf>
    <xf numFmtId="0" fontId="17" fillId="16" borderId="66" xfId="0" applyFont="1" applyFill="1" applyBorder="1" applyAlignment="1">
      <alignment horizontal="center" vertical="center"/>
    </xf>
    <xf numFmtId="0" fontId="9" fillId="16" borderId="7" xfId="0" applyFont="1" applyFill="1" applyBorder="1" applyAlignment="1">
      <alignment horizontal="center" vertical="center"/>
    </xf>
    <xf numFmtId="0" fontId="9" fillId="16" borderId="65" xfId="0" applyFont="1" applyFill="1" applyBorder="1" applyAlignment="1">
      <alignment horizontal="center" vertical="center"/>
    </xf>
    <xf numFmtId="0" fontId="9" fillId="16" borderId="66" xfId="0" applyFont="1" applyFill="1" applyBorder="1" applyAlignment="1">
      <alignment horizontal="center" vertical="center"/>
    </xf>
    <xf numFmtId="0" fontId="19" fillId="0" borderId="7"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18" fillId="0" borderId="0" xfId="0" applyFont="1" applyBorder="1" applyAlignment="1">
      <alignment horizontal="right" vertical="center"/>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3" fillId="0" borderId="0" xfId="0" applyFont="1" applyFill="1" applyBorder="1" applyAlignment="1">
      <alignment horizontal="center"/>
    </xf>
    <xf numFmtId="0" fontId="1" fillId="0" borderId="0" xfId="0" applyFont="1" applyAlignment="1">
      <alignment horizontal="center"/>
    </xf>
    <xf numFmtId="0" fontId="3" fillId="4" borderId="18"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0" borderId="0" xfId="0" applyFont="1" applyAlignment="1">
      <alignment horizontal="center"/>
    </xf>
    <xf numFmtId="0" fontId="6" fillId="0" borderId="0" xfId="0" applyFont="1" applyAlignment="1">
      <alignment horizontal="center"/>
    </xf>
    <xf numFmtId="0" fontId="3" fillId="4" borderId="33" xfId="0" applyFont="1" applyFill="1" applyBorder="1" applyAlignment="1">
      <alignment horizontal="center"/>
    </xf>
    <xf numFmtId="0" fontId="1" fillId="0" borderId="0" xfId="0" applyFont="1" applyAlignment="1">
      <alignment horizontal="left" vertical="top" wrapTex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Border="1" applyAlignment="1">
      <alignment horizontal="center" vertical="center"/>
    </xf>
    <xf numFmtId="0" fontId="1" fillId="0" borderId="39" xfId="0" applyFont="1" applyBorder="1" applyAlignment="1">
      <alignment horizontal="center" vertical="center"/>
    </xf>
    <xf numFmtId="0" fontId="1" fillId="0" borderId="41" xfId="0" applyFont="1" applyBorder="1" applyAlignment="1">
      <alignment horizontal="center" vertical="center"/>
    </xf>
    <xf numFmtId="0" fontId="1" fillId="0" borderId="31" xfId="0" applyFont="1" applyBorder="1" applyAlignment="1">
      <alignment horizontal="center" vertical="center"/>
    </xf>
    <xf numFmtId="0" fontId="1" fillId="0" borderId="3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Alignment="1">
      <alignment horizontal="center" vertical="center" textRotation="90"/>
    </xf>
    <xf numFmtId="0" fontId="7" fillId="0" borderId="0" xfId="0" applyFont="1" applyAlignment="1">
      <alignment horizontal="center"/>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3" fillId="3" borderId="0" xfId="0" applyFont="1" applyFill="1" applyAlignment="1">
      <alignment horizontal="center" vertical="center"/>
    </xf>
    <xf numFmtId="0" fontId="1" fillId="3" borderId="0" xfId="0" applyFont="1" applyFill="1" applyAlignment="1">
      <alignment horizontal="right"/>
    </xf>
    <xf numFmtId="0" fontId="1" fillId="3" borderId="0" xfId="0" applyFont="1" applyFill="1" applyAlignment="1">
      <alignment horizontal="center"/>
    </xf>
    <xf numFmtId="0" fontId="2" fillId="0" borderId="0" xfId="0" applyFont="1" applyAlignment="1">
      <alignment horizontal="center"/>
    </xf>
    <xf numFmtId="0" fontId="3" fillId="4" borderId="18" xfId="0" applyFont="1" applyFill="1" applyBorder="1" applyAlignment="1">
      <alignment horizontal="center" wrapText="1"/>
    </xf>
    <xf numFmtId="0" fontId="3" fillId="4" borderId="20" xfId="0" applyFont="1" applyFill="1" applyBorder="1" applyAlignment="1">
      <alignment horizontal="center" wrapText="1"/>
    </xf>
    <xf numFmtId="0" fontId="3" fillId="2" borderId="0" xfId="0" applyFont="1" applyFill="1" applyAlignment="1">
      <alignment horizontal="center"/>
    </xf>
    <xf numFmtId="0" fontId="3" fillId="2" borderId="0" xfId="0" applyFont="1" applyFill="1" applyAlignment="1">
      <alignment horizontal="center" wrapText="1"/>
    </xf>
    <xf numFmtId="0" fontId="1" fillId="0" borderId="0" xfId="0" applyFont="1" applyAlignment="1">
      <alignment horizontal="center" vertical="top" wrapText="1"/>
    </xf>
    <xf numFmtId="0" fontId="3" fillId="2" borderId="0" xfId="0" applyFont="1" applyFill="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7" xfId="0" applyFont="1" applyFill="1" applyBorder="1" applyAlignment="1">
      <alignment horizontal="center"/>
    </xf>
    <xf numFmtId="0" fontId="1" fillId="14" borderId="0" xfId="0" applyFont="1" applyFill="1" applyBorder="1" applyAlignment="1">
      <alignment horizontal="right"/>
    </xf>
    <xf numFmtId="1" fontId="1" fillId="3" borderId="0" xfId="0" applyNumberFormat="1" applyFont="1" applyFill="1" applyBorder="1" applyAlignment="1">
      <alignment horizontal="center"/>
    </xf>
    <xf numFmtId="0" fontId="1" fillId="3" borderId="56" xfId="0" applyFont="1" applyFill="1" applyBorder="1" applyAlignment="1">
      <alignment horizontal="center"/>
    </xf>
    <xf numFmtId="0" fontId="1" fillId="3" borderId="2" xfId="0" applyFont="1" applyFill="1" applyBorder="1" applyAlignment="1">
      <alignment horizontal="center"/>
    </xf>
    <xf numFmtId="0" fontId="1" fillId="3" borderId="57" xfId="0" applyFont="1" applyFill="1" applyBorder="1" applyAlignment="1">
      <alignment horizontal="center"/>
    </xf>
    <xf numFmtId="0" fontId="1" fillId="3" borderId="58" xfId="0" applyFont="1" applyFill="1" applyBorder="1" applyAlignment="1">
      <alignment horizontal="center"/>
    </xf>
    <xf numFmtId="0" fontId="1" fillId="3" borderId="59" xfId="0" applyFont="1" applyFill="1" applyBorder="1" applyAlignment="1">
      <alignment horizontal="center"/>
    </xf>
    <xf numFmtId="0" fontId="1" fillId="3" borderId="60" xfId="0" applyFont="1" applyFill="1" applyBorder="1" applyAlignment="1">
      <alignment horizontal="center"/>
    </xf>
    <xf numFmtId="0" fontId="1" fillId="3" borderId="0" xfId="0" applyFont="1" applyFill="1" applyBorder="1" applyAlignment="1">
      <alignment horizontal="center"/>
    </xf>
    <xf numFmtId="0" fontId="0" fillId="0" borderId="6" xfId="0" applyBorder="1" applyAlignment="1">
      <alignment horizontal="right"/>
    </xf>
    <xf numFmtId="0" fontId="0" fillId="0" borderId="7" xfId="0" applyBorder="1" applyAlignment="1">
      <alignment horizontal="right"/>
    </xf>
    <xf numFmtId="0" fontId="0" fillId="0" borderId="0" xfId="0" applyAlignment="1">
      <alignment horizontal="right"/>
    </xf>
    <xf numFmtId="1" fontId="3" fillId="3" borderId="54" xfId="0" applyNumberFormat="1" applyFont="1" applyFill="1" applyBorder="1" applyAlignment="1">
      <alignment horizontal="center"/>
    </xf>
    <xf numFmtId="1" fontId="3" fillId="3" borderId="7" xfId="0" applyNumberFormat="1" applyFont="1" applyFill="1" applyBorder="1" applyAlignment="1">
      <alignment horizontal="center"/>
    </xf>
    <xf numFmtId="1" fontId="3" fillId="3" borderId="55" xfId="0" applyNumberFormat="1" applyFont="1" applyFill="1" applyBorder="1" applyAlignment="1">
      <alignment horizontal="center"/>
    </xf>
    <xf numFmtId="1" fontId="1" fillId="3" borderId="54" xfId="0" applyNumberFormat="1" applyFont="1" applyFill="1" applyBorder="1" applyAlignment="1">
      <alignment horizontal="center"/>
    </xf>
    <xf numFmtId="1" fontId="1" fillId="3" borderId="7" xfId="0" applyNumberFormat="1" applyFont="1" applyFill="1" applyBorder="1" applyAlignment="1">
      <alignment horizontal="center"/>
    </xf>
    <xf numFmtId="1" fontId="1" fillId="3" borderId="55" xfId="0" applyNumberFormat="1" applyFont="1" applyFill="1" applyBorder="1" applyAlignment="1">
      <alignment horizontal="center"/>
    </xf>
    <xf numFmtId="0" fontId="3" fillId="3" borderId="56" xfId="0" applyFont="1" applyFill="1" applyBorder="1" applyAlignment="1">
      <alignment horizontal="center"/>
    </xf>
    <xf numFmtId="0" fontId="3" fillId="3" borderId="2" xfId="0" applyFont="1" applyFill="1" applyBorder="1" applyAlignment="1">
      <alignment horizontal="center"/>
    </xf>
    <xf numFmtId="0" fontId="3" fillId="3" borderId="57" xfId="0" applyFont="1" applyFill="1" applyBorder="1" applyAlignment="1">
      <alignment horizontal="center"/>
    </xf>
    <xf numFmtId="0" fontId="9" fillId="0" borderId="24" xfId="0" applyFont="1" applyBorder="1" applyAlignment="1">
      <alignment horizontal="center"/>
    </xf>
    <xf numFmtId="0" fontId="9" fillId="0" borderId="46"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48" xfId="0" applyBorder="1" applyAlignment="1">
      <alignment horizontal="right"/>
    </xf>
    <xf numFmtId="0" fontId="0" fillId="0" borderId="36" xfId="0" applyBorder="1" applyAlignment="1">
      <alignment horizontal="right"/>
    </xf>
    <xf numFmtId="0" fontId="0" fillId="0" borderId="4" xfId="0" applyBorder="1" applyAlignment="1">
      <alignment horizontal="right"/>
    </xf>
    <xf numFmtId="0" fontId="0" fillId="0" borderId="0" xfId="0" applyBorder="1" applyAlignment="1">
      <alignment horizontal="right"/>
    </xf>
    <xf numFmtId="0" fontId="9" fillId="0" borderId="47" xfId="0" applyFont="1" applyBorder="1" applyAlignment="1">
      <alignment horizontal="center"/>
    </xf>
    <xf numFmtId="0" fontId="3" fillId="4" borderId="9" xfId="0" applyFont="1" applyFill="1" applyBorder="1" applyAlignment="1">
      <alignment horizontal="center"/>
    </xf>
    <xf numFmtId="0" fontId="3" fillId="4" borderId="14" xfId="0" applyFont="1" applyFill="1" applyBorder="1" applyAlignment="1">
      <alignment horizontal="center"/>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3" fillId="8" borderId="10" xfId="0" applyFont="1" applyFill="1" applyBorder="1" applyAlignment="1">
      <alignment horizontal="center"/>
    </xf>
    <xf numFmtId="0" fontId="3" fillId="8" borderId="11" xfId="0" applyFont="1" applyFill="1" applyBorder="1" applyAlignment="1">
      <alignment horizontal="center"/>
    </xf>
    <xf numFmtId="0" fontId="3" fillId="8" borderId="12" xfId="0" applyFont="1" applyFill="1" applyBorder="1" applyAlignment="1">
      <alignment horizontal="center"/>
    </xf>
    <xf numFmtId="0" fontId="3" fillId="5" borderId="10" xfId="0" applyFont="1" applyFill="1" applyBorder="1" applyAlignment="1">
      <alignment horizontal="center"/>
    </xf>
    <xf numFmtId="0" fontId="3" fillId="5" borderId="11" xfId="0" applyFont="1" applyFill="1" applyBorder="1" applyAlignment="1">
      <alignment horizontal="center"/>
    </xf>
    <xf numFmtId="0" fontId="3" fillId="5" borderId="12" xfId="0" applyFont="1" applyFill="1" applyBorder="1" applyAlignment="1">
      <alignment horizont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 fillId="3" borderId="51" xfId="0" applyFont="1" applyFill="1" applyBorder="1" applyAlignment="1">
      <alignment horizontal="center"/>
    </xf>
    <xf numFmtId="0" fontId="1" fillId="3" borderId="52" xfId="0" applyFont="1" applyFill="1" applyBorder="1" applyAlignment="1">
      <alignment horizontal="center"/>
    </xf>
    <xf numFmtId="0" fontId="1" fillId="3" borderId="53" xfId="0" applyFont="1" applyFill="1" applyBorder="1" applyAlignment="1">
      <alignment horizontal="center"/>
    </xf>
    <xf numFmtId="1" fontId="3" fillId="3" borderId="61" xfId="0" applyNumberFormat="1" applyFont="1" applyFill="1" applyBorder="1" applyAlignment="1">
      <alignment horizontal="center"/>
    </xf>
    <xf numFmtId="1" fontId="3" fillId="3" borderId="0" xfId="0" applyNumberFormat="1" applyFont="1" applyFill="1" applyBorder="1" applyAlignment="1">
      <alignment horizontal="center"/>
    </xf>
    <xf numFmtId="1" fontId="3" fillId="3" borderId="62" xfId="0" applyNumberFormat="1"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wrapText="1"/>
    </xf>
    <xf numFmtId="0" fontId="0" fillId="0" borderId="9" xfId="0" applyBorder="1" applyAlignment="1">
      <alignment horizontal="center" wrapText="1"/>
    </xf>
    <xf numFmtId="0" fontId="0" fillId="0" borderId="14" xfId="0"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1" fontId="10" fillId="3" borderId="58" xfId="0" applyNumberFormat="1" applyFont="1" applyFill="1" applyBorder="1" applyAlignment="1">
      <alignment horizontal="center"/>
    </xf>
    <xf numFmtId="1" fontId="10" fillId="3" borderId="59" xfId="0" applyNumberFormat="1" applyFont="1" applyFill="1" applyBorder="1" applyAlignment="1">
      <alignment horizontal="center"/>
    </xf>
    <xf numFmtId="1" fontId="10" fillId="3" borderId="60" xfId="0" applyNumberFormat="1"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2" fontId="1" fillId="3" borderId="58" xfId="0" applyNumberFormat="1" applyFont="1" applyFill="1" applyBorder="1" applyAlignment="1">
      <alignment horizontal="center"/>
    </xf>
    <xf numFmtId="2" fontId="1" fillId="3" borderId="59" xfId="0" applyNumberFormat="1" applyFont="1" applyFill="1" applyBorder="1" applyAlignment="1">
      <alignment horizontal="center"/>
    </xf>
    <xf numFmtId="2" fontId="1" fillId="3" borderId="60" xfId="0" applyNumberFormat="1" applyFont="1" applyFill="1" applyBorder="1" applyAlignment="1">
      <alignment horizontal="center"/>
    </xf>
    <xf numFmtId="0" fontId="0" fillId="3" borderId="0" xfId="0" applyFill="1" applyBorder="1" applyAlignment="1">
      <alignment horizontal="center" vertical="center"/>
    </xf>
    <xf numFmtId="1" fontId="1" fillId="3" borderId="61" xfId="0" applyNumberFormat="1" applyFont="1" applyFill="1" applyBorder="1" applyAlignment="1">
      <alignment horizontal="center"/>
    </xf>
    <xf numFmtId="1" fontId="1" fillId="3" borderId="62" xfId="0" applyNumberFormat="1" applyFont="1" applyFill="1" applyBorder="1" applyAlignment="1">
      <alignment horizontal="center"/>
    </xf>
    <xf numFmtId="0" fontId="3" fillId="3" borderId="51" xfId="0" applyFont="1" applyFill="1" applyBorder="1" applyAlignment="1">
      <alignment horizontal="center"/>
    </xf>
    <xf numFmtId="0" fontId="3" fillId="3" borderId="52" xfId="0" applyFont="1" applyFill="1" applyBorder="1" applyAlignment="1">
      <alignment horizontal="center"/>
    </xf>
    <xf numFmtId="0" fontId="3" fillId="3" borderId="53" xfId="0" applyFont="1" applyFill="1" applyBorder="1" applyAlignment="1">
      <alignment horizontal="center"/>
    </xf>
    <xf numFmtId="0" fontId="1" fillId="3" borderId="0" xfId="0" applyFont="1" applyFill="1" applyAlignment="1">
      <alignment horizontal="center" vertical="center"/>
    </xf>
    <xf numFmtId="0" fontId="1" fillId="3" borderId="54" xfId="0" applyFont="1" applyFill="1" applyBorder="1" applyAlignment="1">
      <alignment horizontal="center"/>
    </xf>
    <xf numFmtId="0" fontId="1" fillId="3" borderId="7" xfId="0" applyFont="1" applyFill="1" applyBorder="1" applyAlignment="1">
      <alignment horizontal="center"/>
    </xf>
    <xf numFmtId="0" fontId="1" fillId="3" borderId="55" xfId="0" applyFont="1" applyFill="1" applyBorder="1" applyAlignment="1">
      <alignment horizontal="center"/>
    </xf>
  </cellXfs>
  <cellStyles count="1">
    <cellStyle name="Normal" xfId="0" builtinId="0"/>
  </cellStyles>
  <dxfs count="4">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colors>
    <mruColors>
      <color rgb="FFE0611C"/>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879878890692781E-2"/>
          <c:y val="1.4192187386338845E-2"/>
          <c:w val="0.95987160902995416"/>
          <c:h val="0.89182225246927915"/>
        </c:manualLayout>
      </c:layout>
      <c:scatterChart>
        <c:scatterStyle val="lineMarker"/>
        <c:varyColors val="0"/>
        <c:ser>
          <c:idx val="0"/>
          <c:order val="0"/>
          <c:spPr>
            <a:ln w="19050" cap="rnd">
              <a:solidFill>
                <a:schemeClr val="accent1"/>
              </a:solidFill>
              <a:round/>
            </a:ln>
            <a:effectLst/>
          </c:spPr>
          <c:marker>
            <c:symbol val="none"/>
          </c:marker>
          <c:xVal>
            <c:numRef>
              <c:f>'Span Table '!$W$37:$W$68</c:f>
              <c:numCache>
                <c:formatCode>General</c:formatCode>
                <c:ptCount val="32"/>
                <c:pt idx="0">
                  <c:v>0</c:v>
                </c:pt>
                <c:pt idx="1">
                  <c:v>0</c:v>
                </c:pt>
                <c:pt idx="3">
                  <c:v>1</c:v>
                </c:pt>
                <c:pt idx="4">
                  <c:v>1</c:v>
                </c:pt>
                <c:pt idx="6">
                  <c:v>0.33333333333333331</c:v>
                </c:pt>
                <c:pt idx="7">
                  <c:v>0.33333333333333331</c:v>
                </c:pt>
                <c:pt idx="9">
                  <c:v>0.66666666666666663</c:v>
                </c:pt>
                <c:pt idx="10">
                  <c:v>0.66666666666666663</c:v>
                </c:pt>
                <c:pt idx="12">
                  <c:v>1</c:v>
                </c:pt>
                <c:pt idx="13">
                  <c:v>1</c:v>
                </c:pt>
                <c:pt idx="15">
                  <c:v>1.3333333333333333</c:v>
                </c:pt>
                <c:pt idx="16">
                  <c:v>1.3333333333333333</c:v>
                </c:pt>
                <c:pt idx="18">
                  <c:v>1.6666666666666665</c:v>
                </c:pt>
                <c:pt idx="19">
                  <c:v>1.6666666666666665</c:v>
                </c:pt>
                <c:pt idx="21">
                  <c:v>1.9999999999999998</c:v>
                </c:pt>
                <c:pt idx="22">
                  <c:v>1.9999999999999998</c:v>
                </c:pt>
                <c:pt idx="24">
                  <c:v>2.333333333333333</c:v>
                </c:pt>
                <c:pt idx="25">
                  <c:v>2.333333333333333</c:v>
                </c:pt>
                <c:pt idx="27">
                  <c:v>2.6666666666666665</c:v>
                </c:pt>
                <c:pt idx="28">
                  <c:v>2.6666666666666665</c:v>
                </c:pt>
                <c:pt idx="30">
                  <c:v>3</c:v>
                </c:pt>
                <c:pt idx="31">
                  <c:v>3</c:v>
                </c:pt>
              </c:numCache>
            </c:numRef>
          </c:xVal>
          <c:yVal>
            <c:numRef>
              <c:f>'Span Table '!$X$37:$X$68</c:f>
              <c:numCache>
                <c:formatCode>General</c:formatCode>
                <c:ptCount val="32"/>
                <c:pt idx="0">
                  <c:v>0</c:v>
                </c:pt>
                <c:pt idx="1">
                  <c:v>0.46666666666666667</c:v>
                </c:pt>
                <c:pt idx="3">
                  <c:v>0.46666666666666667</c:v>
                </c:pt>
                <c:pt idx="4">
                  <c:v>0</c:v>
                </c:pt>
                <c:pt idx="6">
                  <c:v>0.46666666666666667</c:v>
                </c:pt>
                <c:pt idx="7">
                  <c:v>0</c:v>
                </c:pt>
                <c:pt idx="9">
                  <c:v>0.46666666666666667</c:v>
                </c:pt>
                <c:pt idx="10">
                  <c:v>0</c:v>
                </c:pt>
                <c:pt idx="12">
                  <c:v>0.46666666666666667</c:v>
                </c:pt>
                <c:pt idx="13">
                  <c:v>0</c:v>
                </c:pt>
                <c:pt idx="15">
                  <c:v>0.46666666666666667</c:v>
                </c:pt>
                <c:pt idx="16">
                  <c:v>0</c:v>
                </c:pt>
                <c:pt idx="18">
                  <c:v>0.46666666666666667</c:v>
                </c:pt>
                <c:pt idx="19">
                  <c:v>0</c:v>
                </c:pt>
                <c:pt idx="21">
                  <c:v>0.46666666666666667</c:v>
                </c:pt>
                <c:pt idx="22">
                  <c:v>0</c:v>
                </c:pt>
                <c:pt idx="24">
                  <c:v>0.46666666666666667</c:v>
                </c:pt>
                <c:pt idx="25">
                  <c:v>0</c:v>
                </c:pt>
                <c:pt idx="27">
                  <c:v>0.46666666666666667</c:v>
                </c:pt>
                <c:pt idx="28">
                  <c:v>0</c:v>
                </c:pt>
                <c:pt idx="30">
                  <c:v>0.46666666666666667</c:v>
                </c:pt>
                <c:pt idx="31">
                  <c:v>0</c:v>
                </c:pt>
              </c:numCache>
            </c:numRef>
          </c:yVal>
          <c:smooth val="0"/>
          <c:extLst>
            <c:ext xmlns:c16="http://schemas.microsoft.com/office/drawing/2014/chart" uri="{C3380CC4-5D6E-409C-BE32-E72D297353CC}">
              <c16:uniqueId val="{0000000B-E84F-4769-BE2F-5FF71323724B}"/>
            </c:ext>
          </c:extLst>
        </c:ser>
        <c:ser>
          <c:idx val="1"/>
          <c:order val="1"/>
          <c:tx>
            <c:v>Fascia</c:v>
          </c:tx>
          <c:spPr>
            <a:ln w="19050" cap="rnd">
              <a:solidFill>
                <a:schemeClr val="accent2"/>
              </a:solidFill>
              <a:round/>
            </a:ln>
            <a:effectLst/>
          </c:spPr>
          <c:marker>
            <c:symbol val="none"/>
          </c:marker>
          <c:xVal>
            <c:numRef>
              <c:f>'Span Table '!$AA$37:$AA$41</c:f>
              <c:numCache>
                <c:formatCode>General</c:formatCode>
                <c:ptCount val="5"/>
                <c:pt idx="0">
                  <c:v>0</c:v>
                </c:pt>
                <c:pt idx="1">
                  <c:v>1</c:v>
                </c:pt>
                <c:pt idx="3">
                  <c:v>1</c:v>
                </c:pt>
                <c:pt idx="4">
                  <c:v>0</c:v>
                </c:pt>
              </c:numCache>
            </c:numRef>
          </c:xVal>
          <c:yVal>
            <c:numRef>
              <c:f>'Span Table '!$AB$37:$AB$41</c:f>
              <c:numCache>
                <c:formatCode>General</c:formatCode>
                <c:ptCount val="5"/>
                <c:pt idx="0">
                  <c:v>0.46666666666666667</c:v>
                </c:pt>
                <c:pt idx="1">
                  <c:v>0.46666666666666667</c:v>
                </c:pt>
                <c:pt idx="3">
                  <c:v>0</c:v>
                </c:pt>
                <c:pt idx="4">
                  <c:v>0</c:v>
                </c:pt>
              </c:numCache>
            </c:numRef>
          </c:yVal>
          <c:smooth val="0"/>
          <c:extLst>
            <c:ext xmlns:c16="http://schemas.microsoft.com/office/drawing/2014/chart" uri="{C3380CC4-5D6E-409C-BE32-E72D297353CC}">
              <c16:uniqueId val="{0000000C-E84F-4769-BE2F-5FF71323724B}"/>
            </c:ext>
          </c:extLst>
        </c:ser>
        <c:dLbls>
          <c:showLegendKey val="0"/>
          <c:showVal val="0"/>
          <c:showCatName val="0"/>
          <c:showSerName val="0"/>
          <c:showPercent val="0"/>
          <c:showBubbleSize val="0"/>
        </c:dLbls>
        <c:axId val="103196544"/>
        <c:axId val="103198080"/>
      </c:scatterChart>
      <c:valAx>
        <c:axId val="103196544"/>
        <c:scaling>
          <c:orientation val="minMax"/>
          <c:max val="1.01"/>
          <c:min val="0"/>
        </c:scaling>
        <c:delete val="1"/>
        <c:axPos val="b"/>
        <c:numFmt formatCode="General" sourceLinked="1"/>
        <c:majorTickMark val="out"/>
        <c:minorTickMark val="none"/>
        <c:tickLblPos val="nextTo"/>
        <c:crossAx val="103198080"/>
        <c:crosses val="autoZero"/>
        <c:crossBetween val="midCat"/>
      </c:valAx>
      <c:valAx>
        <c:axId val="103198080"/>
        <c:scaling>
          <c:orientation val="minMax"/>
          <c:max val="1.01"/>
          <c:min val="0"/>
        </c:scaling>
        <c:delete val="1"/>
        <c:axPos val="l"/>
        <c:numFmt formatCode="General" sourceLinked="1"/>
        <c:majorTickMark val="out"/>
        <c:minorTickMark val="none"/>
        <c:tickLblPos val="nextTo"/>
        <c:crossAx val="103196544"/>
        <c:crosses val="autoZero"/>
        <c:crossBetween val="midCat"/>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142875</xdr:colOff>
      <xdr:row>26</xdr:row>
      <xdr:rowOff>161925</xdr:rowOff>
    </xdr:from>
    <xdr:to>
      <xdr:col>11</xdr:col>
      <xdr:colOff>209550</xdr:colOff>
      <xdr:row>38</xdr:row>
      <xdr:rowOff>123070</xdr:rowOff>
    </xdr:to>
    <xdr:graphicFrame macro="">
      <xdr:nvGraphicFramePr>
        <xdr:cNvPr id="2" name="Chart 1">
          <a:extLst>
            <a:ext uri="{FF2B5EF4-FFF2-40B4-BE49-F238E27FC236}">
              <a16:creationId xmlns:a16="http://schemas.microsoft.com/office/drawing/2014/main" id="{EACD488D-6DD6-42B4-A3D3-6B8579EB2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176216</xdr:colOff>
      <xdr:row>30</xdr:row>
      <xdr:rowOff>104778</xdr:rowOff>
    </xdr:from>
    <xdr:to>
      <xdr:col>3</xdr:col>
      <xdr:colOff>23816</xdr:colOff>
      <xdr:row>37</xdr:row>
      <xdr:rowOff>152403</xdr:rowOff>
    </xdr:to>
    <xdr:sp macro="" textlink="TextBox1">
      <xdr:nvSpPr>
        <xdr:cNvPr id="3" name="TextBox 2">
          <a:extLst>
            <a:ext uri="{FF2B5EF4-FFF2-40B4-BE49-F238E27FC236}">
              <a16:creationId xmlns:a16="http://schemas.microsoft.com/office/drawing/2014/main" id="{C13D489A-5C52-49DE-B326-C7A157BE9947}"/>
            </a:ext>
          </a:extLst>
        </xdr:cNvPr>
        <xdr:cNvSpPr txBox="1"/>
      </xdr:nvSpPr>
      <xdr:spPr>
        <a:xfrm rot="16200000">
          <a:off x="85729" y="6872290"/>
          <a:ext cx="13716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DFF9742-2DC2-43F0-BF46-A8F75A521D72}" type="TxLink">
            <a:rPr lang="en-US" sz="1100" b="0" i="0" u="none" strike="noStrike">
              <a:solidFill>
                <a:srgbClr val="000000"/>
              </a:solidFill>
              <a:latin typeface="Calibri"/>
              <a:cs typeface="Calibri"/>
            </a:rPr>
            <a:pPr algn="ctr"/>
            <a:t>14 ft. 2 in.</a:t>
          </a:fld>
          <a:endParaRPr lang="en-US" sz="1100"/>
        </a:p>
      </xdr:txBody>
    </xdr:sp>
    <xdr:clientData/>
  </xdr:twoCellAnchor>
  <xdr:twoCellAnchor>
    <xdr:from>
      <xdr:col>3</xdr:col>
      <xdr:colOff>61912</xdr:colOff>
      <xdr:row>39</xdr:row>
      <xdr:rowOff>52387</xdr:rowOff>
    </xdr:from>
    <xdr:to>
      <xdr:col>11</xdr:col>
      <xdr:colOff>76200</xdr:colOff>
      <xdr:row>40</xdr:row>
      <xdr:rowOff>138112</xdr:rowOff>
    </xdr:to>
    <xdr:sp macro="" textlink="TextBox2">
      <xdr:nvSpPr>
        <xdr:cNvPr id="4" name="TextBox 3">
          <a:extLst>
            <a:ext uri="{FF2B5EF4-FFF2-40B4-BE49-F238E27FC236}">
              <a16:creationId xmlns:a16="http://schemas.microsoft.com/office/drawing/2014/main" id="{5A54B2AA-52AC-4A1F-A33F-E9CC21A2076E}"/>
            </a:ext>
          </a:extLst>
        </xdr:cNvPr>
        <xdr:cNvSpPr txBox="1"/>
      </xdr:nvSpPr>
      <xdr:spPr>
        <a:xfrm>
          <a:off x="947737" y="7977187"/>
          <a:ext cx="4148138"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34A47CF3-7426-44D7-B564-C03408691390}" type="TxLink">
            <a:rPr lang="en-US" sz="1100" b="0" i="0" u="none" strike="noStrike">
              <a:solidFill>
                <a:srgbClr val="000000"/>
              </a:solidFill>
              <a:latin typeface="Calibri"/>
              <a:cs typeface="Calibri"/>
            </a:rPr>
            <a:pPr algn="ctr"/>
            <a:t>3 bays @ 10 ft. 0.666666666666671 in. ( 30 ft. 2 in. total )</a:t>
          </a:fld>
          <a:endParaRPr lang="en-US" sz="1100"/>
        </a:p>
      </xdr:txBody>
    </xdr:sp>
    <xdr:clientData/>
  </xdr:twoCellAnchor>
  <xdr:twoCellAnchor editAs="oneCell">
    <xdr:from>
      <xdr:col>9</xdr:col>
      <xdr:colOff>66675</xdr:colOff>
      <xdr:row>0</xdr:row>
      <xdr:rowOff>247651</xdr:rowOff>
    </xdr:from>
    <xdr:to>
      <xdr:col>12</xdr:col>
      <xdr:colOff>180975</xdr:colOff>
      <xdr:row>0</xdr:row>
      <xdr:rowOff>690359</xdr:rowOff>
    </xdr:to>
    <xdr:pic>
      <xdr:nvPicPr>
        <xdr:cNvPr id="6" name="Picture 5">
          <a:extLst>
            <a:ext uri="{FF2B5EF4-FFF2-40B4-BE49-F238E27FC236}">
              <a16:creationId xmlns:a16="http://schemas.microsoft.com/office/drawing/2014/main" id="{4EC88F4A-969D-7AA2-99F5-7F4DC85260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90875" y="247651"/>
          <a:ext cx="2543175" cy="4427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114301</xdr:colOff>
      <xdr:row>5</xdr:row>
      <xdr:rowOff>66676</xdr:rowOff>
    </xdr:from>
    <xdr:to>
      <xdr:col>10</xdr:col>
      <xdr:colOff>485775</xdr:colOff>
      <xdr:row>14</xdr:row>
      <xdr:rowOff>19281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676776" y="1066801"/>
          <a:ext cx="1590674" cy="1752830"/>
        </a:xfrm>
        <a:prstGeom prst="rect">
          <a:avLst/>
        </a:prstGeom>
      </xdr:spPr>
    </xdr:pic>
    <xdr:clientData/>
  </xdr:twoCellAnchor>
  <xdr:twoCellAnchor editAs="oneCell">
    <xdr:from>
      <xdr:col>1</xdr:col>
      <xdr:colOff>66675</xdr:colOff>
      <xdr:row>47</xdr:row>
      <xdr:rowOff>19050</xdr:rowOff>
    </xdr:from>
    <xdr:to>
      <xdr:col>3</xdr:col>
      <xdr:colOff>590324</xdr:colOff>
      <xdr:row>50</xdr:row>
      <xdr:rowOff>9451</xdr:rowOff>
    </xdr:to>
    <xdr:pic>
      <xdr:nvPicPr>
        <xdr:cNvPr id="6" name="Picture 5">
          <a:extLst>
            <a:ext uri="{FF2B5EF4-FFF2-40B4-BE49-F238E27FC236}">
              <a16:creationId xmlns:a16="http://schemas.microsoft.com/office/drawing/2014/main" id="{7BC964E9-3319-4834-89C8-54F98AE91E16}"/>
            </a:ext>
          </a:extLst>
        </xdr:cNvPr>
        <xdr:cNvPicPr>
          <a:picLocks noChangeAspect="1"/>
        </xdr:cNvPicPr>
      </xdr:nvPicPr>
      <xdr:blipFill>
        <a:blip xmlns:r="http://schemas.openxmlformats.org/officeDocument/2006/relationships" r:embed="rId2"/>
        <a:stretch>
          <a:fillRect/>
        </a:stretch>
      </xdr:blipFill>
      <xdr:spPr>
        <a:xfrm>
          <a:off x="314325" y="9420225"/>
          <a:ext cx="1809524" cy="590476"/>
        </a:xfrm>
        <a:prstGeom prst="rect">
          <a:avLst/>
        </a:prstGeom>
      </xdr:spPr>
    </xdr:pic>
    <xdr:clientData/>
  </xdr:twoCellAnchor>
  <xdr:twoCellAnchor editAs="oneCell">
    <xdr:from>
      <xdr:col>0</xdr:col>
      <xdr:colOff>104775</xdr:colOff>
      <xdr:row>0</xdr:row>
      <xdr:rowOff>28575</xdr:rowOff>
    </xdr:from>
    <xdr:to>
      <xdr:col>3</xdr:col>
      <xdr:colOff>380774</xdr:colOff>
      <xdr:row>3</xdr:row>
      <xdr:rowOff>18976</xdr:rowOff>
    </xdr:to>
    <xdr:pic>
      <xdr:nvPicPr>
        <xdr:cNvPr id="7" name="Picture 6">
          <a:extLst>
            <a:ext uri="{FF2B5EF4-FFF2-40B4-BE49-F238E27FC236}">
              <a16:creationId xmlns:a16="http://schemas.microsoft.com/office/drawing/2014/main" id="{5F01480B-182A-4DF7-80FC-5E39EFCF995C}"/>
            </a:ext>
          </a:extLst>
        </xdr:cNvPr>
        <xdr:cNvPicPr>
          <a:picLocks noChangeAspect="1"/>
        </xdr:cNvPicPr>
      </xdr:nvPicPr>
      <xdr:blipFill>
        <a:blip xmlns:r="http://schemas.openxmlformats.org/officeDocument/2006/relationships" r:embed="rId2"/>
        <a:stretch>
          <a:fillRect/>
        </a:stretch>
      </xdr:blipFill>
      <xdr:spPr>
        <a:xfrm>
          <a:off x="104775" y="28575"/>
          <a:ext cx="1809524" cy="590476"/>
        </a:xfrm>
        <a:prstGeom prst="rect">
          <a:avLst/>
        </a:prstGeom>
      </xdr:spPr>
    </xdr:pic>
    <xdr:clientData/>
  </xdr:twoCellAnchor>
  <xdr:twoCellAnchor editAs="oneCell">
    <xdr:from>
      <xdr:col>1</xdr:col>
      <xdr:colOff>38100</xdr:colOff>
      <xdr:row>89</xdr:row>
      <xdr:rowOff>180975</xdr:rowOff>
    </xdr:from>
    <xdr:to>
      <xdr:col>3</xdr:col>
      <xdr:colOff>561749</xdr:colOff>
      <xdr:row>92</xdr:row>
      <xdr:rowOff>171376</xdr:rowOff>
    </xdr:to>
    <xdr:pic>
      <xdr:nvPicPr>
        <xdr:cNvPr id="8" name="Picture 7">
          <a:extLst>
            <a:ext uri="{FF2B5EF4-FFF2-40B4-BE49-F238E27FC236}">
              <a16:creationId xmlns:a16="http://schemas.microsoft.com/office/drawing/2014/main" id="{986503E3-72C5-42DA-992A-62602982A5DC}"/>
            </a:ext>
          </a:extLst>
        </xdr:cNvPr>
        <xdr:cNvPicPr>
          <a:picLocks noChangeAspect="1"/>
        </xdr:cNvPicPr>
      </xdr:nvPicPr>
      <xdr:blipFill>
        <a:blip xmlns:r="http://schemas.openxmlformats.org/officeDocument/2006/relationships" r:embed="rId2"/>
        <a:stretch>
          <a:fillRect/>
        </a:stretch>
      </xdr:blipFill>
      <xdr:spPr>
        <a:xfrm>
          <a:off x="285750" y="17983200"/>
          <a:ext cx="1809524" cy="5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3</xdr:col>
      <xdr:colOff>418874</xdr:colOff>
      <xdr:row>3</xdr:row>
      <xdr:rowOff>28501</xdr:rowOff>
    </xdr:to>
    <xdr:pic>
      <xdr:nvPicPr>
        <xdr:cNvPr id="3" name="Picture 2">
          <a:extLst>
            <a:ext uri="{FF2B5EF4-FFF2-40B4-BE49-F238E27FC236}">
              <a16:creationId xmlns:a16="http://schemas.microsoft.com/office/drawing/2014/main" id="{E144D31E-8592-4D1B-804A-544ABC16729F}"/>
            </a:ext>
          </a:extLst>
        </xdr:cNvPr>
        <xdr:cNvPicPr>
          <a:picLocks noChangeAspect="1"/>
        </xdr:cNvPicPr>
      </xdr:nvPicPr>
      <xdr:blipFill>
        <a:blip xmlns:r="http://schemas.openxmlformats.org/officeDocument/2006/relationships" r:embed="rId1"/>
        <a:stretch>
          <a:fillRect/>
        </a:stretch>
      </xdr:blipFill>
      <xdr:spPr>
        <a:xfrm>
          <a:off x="76200" y="47625"/>
          <a:ext cx="1809524" cy="590476"/>
        </a:xfrm>
        <a:prstGeom prst="rect">
          <a:avLst/>
        </a:prstGeom>
      </xdr:spPr>
    </xdr:pic>
    <xdr:clientData/>
  </xdr:twoCellAnchor>
  <xdr:twoCellAnchor editAs="oneCell">
    <xdr:from>
      <xdr:col>2</xdr:col>
      <xdr:colOff>495300</xdr:colOff>
      <xdr:row>3</xdr:row>
      <xdr:rowOff>28576</xdr:rowOff>
    </xdr:from>
    <xdr:to>
      <xdr:col>7</xdr:col>
      <xdr:colOff>274781</xdr:colOff>
      <xdr:row>10</xdr:row>
      <xdr:rowOff>104775</xdr:rowOff>
    </xdr:to>
    <xdr:pic>
      <xdr:nvPicPr>
        <xdr:cNvPr id="4" name="Picture 3">
          <a:extLst>
            <a:ext uri="{FF2B5EF4-FFF2-40B4-BE49-F238E27FC236}">
              <a16:creationId xmlns:a16="http://schemas.microsoft.com/office/drawing/2014/main" id="{89490C90-8BFC-4A65-8792-0D56DF5CBD80}"/>
            </a:ext>
          </a:extLst>
        </xdr:cNvPr>
        <xdr:cNvPicPr>
          <a:picLocks noChangeAspect="1"/>
        </xdr:cNvPicPr>
      </xdr:nvPicPr>
      <xdr:blipFill>
        <a:blip xmlns:r="http://schemas.openxmlformats.org/officeDocument/2006/relationships" r:embed="rId2"/>
        <a:stretch>
          <a:fillRect/>
        </a:stretch>
      </xdr:blipFill>
      <xdr:spPr>
        <a:xfrm>
          <a:off x="1352550" y="638176"/>
          <a:ext cx="2827481" cy="14763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3</xdr:row>
      <xdr:rowOff>72390</xdr:rowOff>
    </xdr:from>
    <xdr:to>
      <xdr:col>6</xdr:col>
      <xdr:colOff>266296</xdr:colOff>
      <xdr:row>20</xdr:row>
      <xdr:rowOff>71965</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337185" y="666750"/>
          <a:ext cx="3228571" cy="3367615"/>
        </a:xfrm>
        <a:prstGeom prst="rect">
          <a:avLst/>
        </a:prstGeom>
      </xdr:spPr>
    </xdr:pic>
    <xdr:clientData/>
  </xdr:twoCellAnchor>
  <xdr:twoCellAnchor editAs="oneCell">
    <xdr:from>
      <xdr:col>0</xdr:col>
      <xdr:colOff>219075</xdr:colOff>
      <xdr:row>0</xdr:row>
      <xdr:rowOff>28575</xdr:rowOff>
    </xdr:from>
    <xdr:to>
      <xdr:col>3</xdr:col>
      <xdr:colOff>561749</xdr:colOff>
      <xdr:row>3</xdr:row>
      <xdr:rowOff>18976</xdr:rowOff>
    </xdr:to>
    <xdr:pic>
      <xdr:nvPicPr>
        <xdr:cNvPr id="4" name="Picture 3">
          <a:extLst>
            <a:ext uri="{FF2B5EF4-FFF2-40B4-BE49-F238E27FC236}">
              <a16:creationId xmlns:a16="http://schemas.microsoft.com/office/drawing/2014/main" id="{6BE366C1-CC65-4DDB-AE0F-FBA74313BFE1}"/>
            </a:ext>
          </a:extLst>
        </xdr:cNvPr>
        <xdr:cNvPicPr>
          <a:picLocks noChangeAspect="1"/>
        </xdr:cNvPicPr>
      </xdr:nvPicPr>
      <xdr:blipFill>
        <a:blip xmlns:r="http://schemas.openxmlformats.org/officeDocument/2006/relationships" r:embed="rId2"/>
        <a:stretch>
          <a:fillRect/>
        </a:stretch>
      </xdr:blipFill>
      <xdr:spPr>
        <a:xfrm>
          <a:off x="219075" y="28575"/>
          <a:ext cx="1809524" cy="59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171450</xdr:rowOff>
    </xdr:from>
    <xdr:to>
      <xdr:col>6</xdr:col>
      <xdr:colOff>237714</xdr:colOff>
      <xdr:row>20</xdr:row>
      <xdr:rowOff>132930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47650" y="771525"/>
          <a:ext cx="3285714" cy="3361905"/>
        </a:xfrm>
        <a:prstGeom prst="rect">
          <a:avLst/>
        </a:prstGeom>
      </xdr:spPr>
    </xdr:pic>
    <xdr:clientData/>
  </xdr:twoCellAnchor>
  <xdr:twoCellAnchor editAs="oneCell">
    <xdr:from>
      <xdr:col>0</xdr:col>
      <xdr:colOff>200025</xdr:colOff>
      <xdr:row>0</xdr:row>
      <xdr:rowOff>104775</xdr:rowOff>
    </xdr:from>
    <xdr:to>
      <xdr:col>3</xdr:col>
      <xdr:colOff>542699</xdr:colOff>
      <xdr:row>3</xdr:row>
      <xdr:rowOff>95176</xdr:rowOff>
    </xdr:to>
    <xdr:pic>
      <xdr:nvPicPr>
        <xdr:cNvPr id="5" name="Picture 4">
          <a:extLst>
            <a:ext uri="{FF2B5EF4-FFF2-40B4-BE49-F238E27FC236}">
              <a16:creationId xmlns:a16="http://schemas.microsoft.com/office/drawing/2014/main" id="{75AC1445-4E11-4122-962B-E3F96278F5A7}"/>
            </a:ext>
          </a:extLst>
        </xdr:cNvPr>
        <xdr:cNvPicPr>
          <a:picLocks noChangeAspect="1"/>
        </xdr:cNvPicPr>
      </xdr:nvPicPr>
      <xdr:blipFill>
        <a:blip xmlns:r="http://schemas.openxmlformats.org/officeDocument/2006/relationships" r:embed="rId2"/>
        <a:stretch>
          <a:fillRect/>
        </a:stretch>
      </xdr:blipFill>
      <xdr:spPr>
        <a:xfrm>
          <a:off x="200025" y="104775"/>
          <a:ext cx="1809524" cy="5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AJ76"/>
  <sheetViews>
    <sheetView showGridLines="0" tabSelected="1" zoomScaleNormal="100" workbookViewId="0">
      <selection activeCell="K10" sqref="K10"/>
    </sheetView>
  </sheetViews>
  <sheetFormatPr defaultRowHeight="15" x14ac:dyDescent="0.25"/>
  <cols>
    <col min="1" max="1" width="6.85546875" customWidth="1"/>
    <col min="2" max="2" width="3.42578125" customWidth="1"/>
    <col min="3" max="6" width="7.7109375" customWidth="1"/>
    <col min="7" max="7" width="1.5703125" customWidth="1"/>
    <col min="8" max="8" width="0.28515625" customWidth="1"/>
    <col min="9" max="9" width="3.85546875" customWidth="1"/>
    <col min="10" max="10" width="22.85546875" customWidth="1"/>
    <col min="11" max="11" width="12" customWidth="1"/>
    <col min="12" max="12" width="1.5703125" customWidth="1"/>
    <col min="13" max="13" width="11.42578125" customWidth="1"/>
    <col min="14" max="14" width="12" customWidth="1"/>
    <col min="15" max="18" width="9.140625" customWidth="1"/>
  </cols>
  <sheetData>
    <row r="1" spans="1:36" ht="57" customHeight="1" x14ac:dyDescent="0.25">
      <c r="B1" s="115"/>
      <c r="C1" s="174"/>
      <c r="D1" s="174"/>
      <c r="E1" s="174"/>
      <c r="F1" s="174"/>
      <c r="G1" s="174"/>
      <c r="H1" s="174"/>
      <c r="I1" s="174"/>
      <c r="J1" s="174"/>
      <c r="K1" s="174"/>
      <c r="L1" s="174"/>
      <c r="M1" s="174"/>
      <c r="N1" s="174"/>
      <c r="O1" s="174"/>
      <c r="P1" s="115"/>
    </row>
    <row r="2" spans="1:36" ht="27" customHeight="1" x14ac:dyDescent="0.25">
      <c r="B2" s="143"/>
      <c r="C2" s="204" t="s">
        <v>203</v>
      </c>
      <c r="D2" s="204"/>
      <c r="E2" s="204"/>
      <c r="F2" s="204"/>
      <c r="G2" s="204"/>
      <c r="H2" s="204"/>
      <c r="I2" s="204"/>
      <c r="J2" s="204"/>
      <c r="K2" s="204"/>
      <c r="L2" s="204"/>
      <c r="M2" s="204"/>
      <c r="N2" s="204"/>
      <c r="O2" s="204"/>
      <c r="P2" s="204"/>
      <c r="Q2" s="143"/>
    </row>
    <row r="3" spans="1:36" ht="24.75" customHeight="1" x14ac:dyDescent="0.25">
      <c r="B3" s="143"/>
      <c r="C3" s="223" t="s">
        <v>206</v>
      </c>
      <c r="D3" s="223"/>
      <c r="E3" s="223"/>
      <c r="F3" s="223"/>
      <c r="G3" s="223"/>
      <c r="H3" s="223"/>
      <c r="I3" s="223"/>
      <c r="J3" s="223"/>
      <c r="K3" s="173"/>
      <c r="L3" s="171"/>
      <c r="M3" s="172" t="s">
        <v>204</v>
      </c>
      <c r="N3" s="171"/>
      <c r="O3" s="171"/>
      <c r="P3" s="171"/>
      <c r="Q3" s="143"/>
    </row>
    <row r="4" spans="1:36" ht="210" customHeight="1" thickBot="1" x14ac:dyDescent="0.3">
      <c r="B4" s="143"/>
      <c r="C4" s="220" t="s">
        <v>205</v>
      </c>
      <c r="D4" s="221"/>
      <c r="E4" s="221"/>
      <c r="F4" s="221"/>
      <c r="G4" s="222"/>
      <c r="H4" s="221"/>
      <c r="I4" s="221"/>
      <c r="J4" s="221"/>
      <c r="K4" s="221"/>
      <c r="L4" s="222"/>
      <c r="M4" s="222"/>
      <c r="N4" s="222"/>
      <c r="O4" s="222"/>
      <c r="P4" s="222"/>
      <c r="Q4" s="151"/>
      <c r="R4" s="134"/>
      <c r="S4" s="134"/>
      <c r="T4" s="134"/>
      <c r="U4" s="134"/>
      <c r="V4" s="134"/>
      <c r="W4" s="114"/>
      <c r="X4" s="114"/>
      <c r="Y4" s="114"/>
      <c r="Z4" s="114"/>
      <c r="AA4" s="114"/>
      <c r="AB4" s="114"/>
    </row>
    <row r="5" spans="1:36" ht="19.5" thickBot="1" x14ac:dyDescent="0.3">
      <c r="A5" s="185" t="s">
        <v>0</v>
      </c>
      <c r="B5" s="135"/>
      <c r="C5" s="192" t="s">
        <v>1</v>
      </c>
      <c r="D5" s="193"/>
      <c r="E5" s="193"/>
      <c r="F5" s="194"/>
      <c r="G5" s="144"/>
      <c r="H5" s="143"/>
      <c r="I5" s="192" t="s">
        <v>2</v>
      </c>
      <c r="J5" s="194"/>
      <c r="K5" s="141" t="s">
        <v>3</v>
      </c>
      <c r="L5" s="210"/>
      <c r="M5" s="211"/>
      <c r="N5" s="157"/>
      <c r="O5" s="157"/>
      <c r="P5" s="157"/>
      <c r="Q5" s="152"/>
      <c r="R5" s="128" t="s">
        <v>4</v>
      </c>
      <c r="S5" s="128"/>
      <c r="T5" s="128" t="s">
        <v>200</v>
      </c>
      <c r="U5" s="112"/>
      <c r="V5" s="111"/>
    </row>
    <row r="6" spans="1:36" ht="19.5" thickBot="1" x14ac:dyDescent="0.3">
      <c r="A6" s="185"/>
      <c r="B6" s="135"/>
      <c r="C6" s="177" t="s">
        <v>5</v>
      </c>
      <c r="D6" s="175"/>
      <c r="E6" s="178" t="s">
        <v>6</v>
      </c>
      <c r="F6" s="179"/>
      <c r="G6" s="143"/>
      <c r="H6" s="143"/>
      <c r="I6" s="177" t="s">
        <v>7</v>
      </c>
      <c r="J6" s="176"/>
      <c r="K6" s="168" t="s">
        <v>201</v>
      </c>
      <c r="L6" s="190" t="s">
        <v>8</v>
      </c>
      <c r="M6" s="191"/>
      <c r="N6" s="158"/>
      <c r="O6" s="158"/>
      <c r="P6" s="158"/>
      <c r="Q6" s="152"/>
      <c r="R6" s="112"/>
      <c r="S6" s="112"/>
      <c r="T6" s="112"/>
      <c r="U6" s="112"/>
      <c r="V6" s="111"/>
    </row>
    <row r="7" spans="1:36" ht="21.75" customHeight="1" thickBot="1" x14ac:dyDescent="0.3">
      <c r="A7" s="185"/>
      <c r="B7" s="135"/>
      <c r="C7" s="138" t="s">
        <v>9</v>
      </c>
      <c r="D7" s="138" t="s">
        <v>10</v>
      </c>
      <c r="E7" s="138" t="s">
        <v>9</v>
      </c>
      <c r="F7" s="137" t="s">
        <v>10</v>
      </c>
      <c r="G7" s="143"/>
      <c r="H7" s="143"/>
      <c r="I7" s="180" t="s">
        <v>11</v>
      </c>
      <c r="J7" s="181"/>
      <c r="K7" s="154" t="s">
        <v>12</v>
      </c>
      <c r="L7" s="212"/>
      <c r="M7" s="213"/>
      <c r="N7" s="158"/>
      <c r="O7" s="158"/>
      <c r="P7" s="158"/>
      <c r="Q7" s="152"/>
      <c r="R7" s="111"/>
      <c r="S7" s="111"/>
      <c r="T7" s="111"/>
      <c r="U7" s="111"/>
      <c r="V7" s="111"/>
      <c r="W7" s="117"/>
      <c r="X7" s="117"/>
      <c r="Y7" s="117"/>
      <c r="Z7" s="117"/>
      <c r="AA7" s="117"/>
      <c r="AB7" s="117"/>
      <c r="AC7" s="117"/>
      <c r="AD7" s="117"/>
      <c r="AE7" s="117"/>
      <c r="AF7" s="117"/>
      <c r="AG7" s="117"/>
      <c r="AH7" s="117"/>
      <c r="AI7" s="117"/>
    </row>
    <row r="8" spans="1:36" ht="19.5" thickBot="1" x14ac:dyDescent="0.3">
      <c r="A8" s="185"/>
      <c r="B8" s="135"/>
      <c r="C8" s="165">
        <v>14</v>
      </c>
      <c r="D8" s="166">
        <v>2</v>
      </c>
      <c r="E8" s="166">
        <v>30</v>
      </c>
      <c r="F8" s="167">
        <v>2</v>
      </c>
      <c r="G8" s="143"/>
      <c r="H8" s="143"/>
      <c r="I8" s="184" t="s">
        <v>13</v>
      </c>
      <c r="J8" s="179"/>
      <c r="K8" s="169">
        <v>3</v>
      </c>
      <c r="L8" s="190" t="s">
        <v>14</v>
      </c>
      <c r="M8" s="191"/>
      <c r="N8" s="158"/>
      <c r="O8" s="158"/>
      <c r="P8" s="158"/>
      <c r="Q8" s="159"/>
      <c r="R8" s="110"/>
      <c r="S8" s="110"/>
      <c r="T8" s="110"/>
      <c r="U8" s="110"/>
      <c r="V8" s="111"/>
      <c r="W8" s="117"/>
      <c r="X8" s="117"/>
      <c r="Y8" s="117"/>
      <c r="Z8" s="117"/>
      <c r="AA8" s="117"/>
      <c r="AB8" s="117"/>
      <c r="AC8" s="117"/>
      <c r="AD8" s="117"/>
      <c r="AE8" s="117"/>
      <c r="AF8" s="117"/>
      <c r="AG8" s="117"/>
      <c r="AH8" s="117"/>
      <c r="AI8" s="117"/>
    </row>
    <row r="9" spans="1:36" ht="19.5" customHeight="1" thickBot="1" x14ac:dyDescent="0.3">
      <c r="B9" s="143"/>
      <c r="C9" s="186" t="s">
        <v>15</v>
      </c>
      <c r="D9" s="187"/>
      <c r="E9" s="186" t="s">
        <v>16</v>
      </c>
      <c r="F9" s="187"/>
      <c r="G9" s="143"/>
      <c r="H9" s="143"/>
      <c r="I9" s="177" t="s">
        <v>17</v>
      </c>
      <c r="J9" s="176"/>
      <c r="K9" s="170">
        <v>120</v>
      </c>
      <c r="L9" s="190" t="s">
        <v>18</v>
      </c>
      <c r="M9" s="191"/>
      <c r="N9" s="158"/>
      <c r="O9" s="158"/>
      <c r="P9" s="158"/>
      <c r="Q9" s="159"/>
      <c r="R9" s="110"/>
      <c r="S9" s="110"/>
      <c r="T9" s="110"/>
      <c r="U9" s="110"/>
      <c r="V9" s="111"/>
      <c r="W9" s="117"/>
      <c r="X9" s="117"/>
      <c r="Y9" s="117"/>
      <c r="Z9" s="117"/>
      <c r="AA9" s="117"/>
      <c r="AB9" s="117"/>
      <c r="AC9" s="117"/>
      <c r="AD9" s="117"/>
      <c r="AE9" s="117"/>
      <c r="AF9" s="117"/>
      <c r="AG9" s="117"/>
      <c r="AH9" s="117"/>
      <c r="AI9" s="117"/>
    </row>
    <row r="10" spans="1:36" ht="19.5" customHeight="1" thickBot="1" x14ac:dyDescent="0.3">
      <c r="B10" s="143"/>
      <c r="C10" s="188"/>
      <c r="D10" s="189"/>
      <c r="E10" s="188"/>
      <c r="F10" s="189"/>
      <c r="G10" s="143"/>
      <c r="H10" s="143"/>
      <c r="I10" s="184" t="s">
        <v>19</v>
      </c>
      <c r="J10" s="179"/>
      <c r="K10" s="167">
        <v>0</v>
      </c>
      <c r="L10" s="190" t="s">
        <v>20</v>
      </c>
      <c r="M10" s="191"/>
      <c r="N10" s="158"/>
      <c r="O10" s="158"/>
      <c r="P10" s="158"/>
      <c r="Q10" s="145"/>
      <c r="R10" s="110"/>
      <c r="S10" s="110"/>
      <c r="T10" s="110"/>
      <c r="U10" s="110"/>
      <c r="V10" s="111"/>
      <c r="W10" s="117"/>
      <c r="X10" s="117"/>
      <c r="Y10" s="117"/>
      <c r="Z10" s="117"/>
      <c r="AA10" s="117"/>
      <c r="AB10" s="117"/>
      <c r="AC10" s="117"/>
      <c r="AD10" s="117"/>
      <c r="AE10" s="117"/>
      <c r="AF10" s="117"/>
      <c r="AG10" s="117"/>
      <c r="AH10" s="117"/>
      <c r="AI10" s="117"/>
      <c r="AJ10" s="117"/>
    </row>
    <row r="11" spans="1:36" ht="3.75" customHeight="1" x14ac:dyDescent="0.25">
      <c r="B11" s="143"/>
      <c r="C11" s="143"/>
      <c r="D11" s="143"/>
      <c r="E11" s="143"/>
      <c r="F11" s="143"/>
      <c r="G11" s="143"/>
      <c r="H11" s="143"/>
      <c r="I11" s="143"/>
      <c r="J11" s="143"/>
      <c r="K11" s="143"/>
      <c r="L11" s="143"/>
      <c r="M11" s="143"/>
      <c r="N11" s="143"/>
      <c r="O11" s="143"/>
      <c r="P11" s="145"/>
      <c r="Q11" s="145"/>
      <c r="R11" s="110"/>
      <c r="S11" s="110"/>
      <c r="T11" s="110"/>
      <c r="U11" s="110"/>
      <c r="V11" s="111"/>
      <c r="W11" s="117"/>
      <c r="X11" s="117"/>
      <c r="Y11" s="117"/>
      <c r="Z11" s="117"/>
      <c r="AA11" s="117"/>
      <c r="AB11" s="117"/>
      <c r="AC11" s="117"/>
      <c r="AD11" s="117"/>
      <c r="AE11" s="117"/>
      <c r="AF11" s="117"/>
      <c r="AG11" s="117"/>
      <c r="AH11" s="117"/>
      <c r="AI11" s="117"/>
      <c r="AJ11" s="117"/>
    </row>
    <row r="12" spans="1:36" ht="5.25" customHeight="1" thickBot="1" x14ac:dyDescent="0.3">
      <c r="B12" s="143"/>
      <c r="C12" s="143"/>
      <c r="D12" s="143"/>
      <c r="E12" s="143"/>
      <c r="F12" s="143"/>
      <c r="G12" s="143"/>
      <c r="H12" s="140"/>
      <c r="I12" s="136"/>
      <c r="L12" s="143"/>
      <c r="M12" s="143"/>
      <c r="N12" s="143"/>
      <c r="O12" s="143"/>
      <c r="P12" s="145"/>
      <c r="Q12" s="145"/>
      <c r="R12" s="110"/>
      <c r="S12" s="110"/>
      <c r="T12" s="110"/>
      <c r="U12" s="110"/>
      <c r="V12" s="111"/>
      <c r="W12" s="117"/>
      <c r="X12" s="117"/>
      <c r="Y12" s="117"/>
      <c r="Z12" s="117"/>
      <c r="AA12" s="117"/>
      <c r="AB12" s="117"/>
      <c r="AC12" s="117"/>
      <c r="AD12" s="117"/>
      <c r="AE12" s="117"/>
      <c r="AF12" s="117"/>
      <c r="AG12" s="117"/>
      <c r="AH12" s="117"/>
      <c r="AI12" s="117"/>
      <c r="AJ12" s="117"/>
    </row>
    <row r="13" spans="1:36" ht="21.75" customHeight="1" thickBot="1" x14ac:dyDescent="0.3">
      <c r="B13" s="143"/>
      <c r="C13" s="214" t="s">
        <v>202</v>
      </c>
      <c r="D13" s="215"/>
      <c r="E13" s="215"/>
      <c r="F13" s="216"/>
      <c r="G13" s="143"/>
      <c r="H13" s="144"/>
      <c r="I13" s="217" t="s">
        <v>28</v>
      </c>
      <c r="J13" s="218"/>
      <c r="K13" s="219"/>
      <c r="L13" s="155"/>
      <c r="M13" s="205" t="s">
        <v>32</v>
      </c>
      <c r="N13" s="206"/>
      <c r="O13" s="209" t="s">
        <v>200</v>
      </c>
      <c r="P13" s="160"/>
      <c r="Q13" s="153"/>
      <c r="R13" s="116"/>
      <c r="S13" s="116"/>
      <c r="T13" s="116"/>
      <c r="U13" s="116"/>
      <c r="V13" s="111"/>
      <c r="W13" s="117"/>
      <c r="X13" s="117"/>
      <c r="Y13" s="117"/>
      <c r="Z13" s="117"/>
      <c r="AA13" s="117"/>
      <c r="AB13" s="117"/>
      <c r="AC13" s="117"/>
      <c r="AD13" s="117"/>
      <c r="AE13" s="117"/>
      <c r="AF13" s="117"/>
      <c r="AG13" s="117"/>
      <c r="AH13" s="117"/>
      <c r="AI13" s="117"/>
      <c r="AJ13" s="117"/>
    </row>
    <row r="14" spans="1:36" ht="18" customHeight="1" thickBot="1" x14ac:dyDescent="0.3">
      <c r="B14" s="143"/>
      <c r="C14" s="177" t="s">
        <v>21</v>
      </c>
      <c r="D14" s="175"/>
      <c r="E14" s="176"/>
      <c r="F14" s="146">
        <f>(C8+D8/12)*(K8+1)</f>
        <v>56.666666666666664</v>
      </c>
      <c r="G14" s="161"/>
      <c r="H14" s="144"/>
      <c r="I14" s="175" t="s">
        <v>29</v>
      </c>
      <c r="J14" s="176"/>
      <c r="K14" s="149">
        <f>IF(ROUND(Blade!J10/12,1)&lt;11.5,ROUND(Blade!J10/12,1),11.5)</f>
        <v>11.5</v>
      </c>
      <c r="L14" s="153"/>
      <c r="M14" s="207"/>
      <c r="N14" s="208"/>
      <c r="O14" s="179"/>
      <c r="P14" s="145" t="s">
        <v>22</v>
      </c>
      <c r="Q14" s="145"/>
      <c r="R14" s="113" t="s">
        <v>23</v>
      </c>
      <c r="S14" s="113" t="s">
        <v>24</v>
      </c>
      <c r="T14" s="110"/>
      <c r="U14" s="116"/>
      <c r="V14" s="111"/>
      <c r="W14" s="117"/>
      <c r="X14" s="117"/>
      <c r="Y14" s="117"/>
      <c r="Z14" s="117"/>
      <c r="AA14" s="117"/>
      <c r="AB14" s="117"/>
      <c r="AC14" s="117"/>
      <c r="AD14" s="117"/>
      <c r="AE14" s="117"/>
      <c r="AF14" s="117"/>
      <c r="AG14" s="117"/>
      <c r="AH14" s="117"/>
      <c r="AI14" s="117"/>
      <c r="AJ14" s="117"/>
    </row>
    <row r="15" spans="1:36" ht="18" customHeight="1" thickBot="1" x14ac:dyDescent="0.3">
      <c r="B15" s="143"/>
      <c r="C15" s="177" t="s">
        <v>25</v>
      </c>
      <c r="D15" s="175"/>
      <c r="E15" s="176"/>
      <c r="F15" s="146">
        <f>(E8+F8/12)*2</f>
        <v>60.333333333333336</v>
      </c>
      <c r="G15" s="161"/>
      <c r="H15" s="144"/>
      <c r="I15" s="175" t="s">
        <v>30</v>
      </c>
      <c r="J15" s="176"/>
      <c r="K15" s="142">
        <f>IF(K6="2x8",'2" x 8" Beams'!N87,'2" x 10" Beams'!N84)/12</f>
        <v>24</v>
      </c>
      <c r="L15" s="163"/>
      <c r="M15" s="195" t="s">
        <v>33</v>
      </c>
      <c r="N15" s="196"/>
      <c r="O15" s="197"/>
      <c r="P15" s="145" t="s">
        <v>26</v>
      </c>
      <c r="Q15" s="145"/>
      <c r="R15" s="113">
        <v>3</v>
      </c>
      <c r="S15" s="113">
        <v>3.6</v>
      </c>
      <c r="T15" s="110"/>
      <c r="U15" s="116"/>
      <c r="V15" s="111"/>
      <c r="W15" s="117"/>
      <c r="X15" s="117"/>
      <c r="Y15" s="117"/>
      <c r="Z15" s="117"/>
      <c r="AA15" s="117"/>
      <c r="AB15" s="117"/>
      <c r="AC15" s="117"/>
      <c r="AD15" s="117"/>
      <c r="AE15" s="117"/>
      <c r="AF15" s="117"/>
      <c r="AG15" s="117"/>
      <c r="AH15" s="117"/>
      <c r="AI15" s="117"/>
      <c r="AJ15" s="117"/>
    </row>
    <row r="16" spans="1:36" ht="18" customHeight="1" thickBot="1" x14ac:dyDescent="0.3">
      <c r="B16" s="143"/>
      <c r="C16" s="177" t="s">
        <v>27</v>
      </c>
      <c r="D16" s="175"/>
      <c r="E16" s="176"/>
      <c r="F16" s="162">
        <f>ROUND(((E8*12+F8)-(K8+1)*2)/K8/12,2)</f>
        <v>9.83</v>
      </c>
      <c r="G16" s="161"/>
      <c r="H16" s="144"/>
      <c r="I16" s="182" t="s">
        <v>182</v>
      </c>
      <c r="J16" s="183"/>
      <c r="K16" s="142">
        <f>IF(K6="2x8",'2" x 8" Beams'!N31,'2" x 10" Beams'!N28)/12</f>
        <v>17.5</v>
      </c>
      <c r="L16" s="163"/>
      <c r="M16" s="198"/>
      <c r="N16" s="199"/>
      <c r="O16" s="200"/>
      <c r="P16" s="145"/>
      <c r="Q16" s="145"/>
      <c r="R16" s="110"/>
      <c r="S16" s="110"/>
      <c r="T16" s="110"/>
      <c r="U16" s="116"/>
      <c r="V16" s="111"/>
      <c r="W16" s="117"/>
      <c r="X16" s="117"/>
      <c r="Y16" s="117"/>
      <c r="Z16" s="117"/>
      <c r="AA16" s="117"/>
      <c r="AB16" s="117"/>
      <c r="AC16" s="117"/>
      <c r="AD16" s="117"/>
      <c r="AE16" s="117"/>
      <c r="AF16" s="117"/>
      <c r="AG16" s="117"/>
      <c r="AH16" s="117"/>
      <c r="AI16" s="117"/>
      <c r="AJ16" s="117"/>
    </row>
    <row r="17" spans="2:36" ht="18" customHeight="1" thickBot="1" x14ac:dyDescent="0.3">
      <c r="B17" s="143"/>
      <c r="C17" s="139"/>
      <c r="D17" s="143"/>
      <c r="E17" s="147"/>
      <c r="F17" s="161"/>
      <c r="G17" s="161"/>
      <c r="H17" s="184" t="s">
        <v>31</v>
      </c>
      <c r="I17" s="178"/>
      <c r="J17" s="179"/>
      <c r="K17" s="150">
        <f>IF(K6="2x8",'2" x 8" Beams'!N112,'2" x 10" Beams'!N109)/12</f>
        <v>21</v>
      </c>
      <c r="L17" s="164"/>
      <c r="M17" s="201"/>
      <c r="N17" s="202"/>
      <c r="O17" s="203"/>
      <c r="P17" s="145"/>
      <c r="Q17" s="145"/>
      <c r="R17" s="110"/>
      <c r="S17" s="110"/>
      <c r="T17" s="110"/>
      <c r="U17" s="116"/>
      <c r="V17" s="111"/>
      <c r="W17" s="117"/>
      <c r="X17" s="117"/>
      <c r="Y17" s="117"/>
      <c r="Z17" s="117"/>
      <c r="AA17" s="117"/>
      <c r="AB17" s="117"/>
      <c r="AC17" s="117"/>
      <c r="AD17" s="117"/>
      <c r="AE17" s="117"/>
      <c r="AF17" s="117"/>
      <c r="AG17" s="117"/>
      <c r="AH17" s="117"/>
      <c r="AI17" s="117"/>
      <c r="AJ17" s="117"/>
    </row>
    <row r="18" spans="2:36" ht="2.25" customHeight="1" x14ac:dyDescent="0.25">
      <c r="B18" s="143"/>
      <c r="C18" s="143"/>
      <c r="D18" s="143"/>
      <c r="E18" s="147"/>
      <c r="F18" s="161"/>
      <c r="G18" s="161"/>
      <c r="H18" s="143"/>
      <c r="I18" s="143"/>
      <c r="J18" s="143"/>
      <c r="K18" s="143"/>
      <c r="L18" s="156"/>
      <c r="M18" s="156"/>
      <c r="N18" s="156"/>
      <c r="O18" s="156"/>
      <c r="P18" s="145">
        <f>'Design Loads'!P53</f>
        <v>13.423656959999997</v>
      </c>
      <c r="Q18" s="145"/>
      <c r="R18" s="110"/>
      <c r="S18" s="110"/>
      <c r="T18" s="110"/>
      <c r="U18" s="116"/>
      <c r="V18" s="111"/>
      <c r="W18" s="117"/>
      <c r="X18" s="117"/>
      <c r="Y18" s="117"/>
      <c r="Z18" s="117"/>
      <c r="AA18" s="117"/>
      <c r="AB18" s="117"/>
      <c r="AC18" s="117"/>
      <c r="AD18" s="117"/>
      <c r="AE18" s="117"/>
      <c r="AF18" s="117"/>
      <c r="AG18" s="117"/>
      <c r="AH18" s="117"/>
      <c r="AI18" s="117"/>
      <c r="AJ18" s="117"/>
    </row>
    <row r="19" spans="2:36" ht="21" customHeight="1" x14ac:dyDescent="0.25">
      <c r="B19" s="143"/>
      <c r="C19" s="143"/>
      <c r="D19" s="143"/>
      <c r="E19" s="148"/>
      <c r="F19" s="161"/>
      <c r="G19" s="161"/>
      <c r="H19" s="143"/>
      <c r="L19" s="156"/>
      <c r="M19" s="156"/>
      <c r="N19" s="156"/>
      <c r="O19" s="156"/>
      <c r="P19" s="145" t="b">
        <f>C19='Design Loads'!P54</f>
        <v>1</v>
      </c>
      <c r="Q19" s="145"/>
      <c r="R19" s="110"/>
      <c r="S19" s="110"/>
      <c r="T19" s="110"/>
      <c r="U19" s="116"/>
      <c r="V19" s="111"/>
      <c r="W19" s="117"/>
      <c r="X19" s="117"/>
      <c r="Y19" s="117"/>
      <c r="Z19" s="117"/>
      <c r="AA19" s="117"/>
      <c r="AB19" s="117"/>
      <c r="AC19" s="117"/>
      <c r="AD19" s="117"/>
      <c r="AE19" s="117"/>
      <c r="AF19" s="117"/>
      <c r="AG19" s="117"/>
      <c r="AH19" s="117"/>
      <c r="AI19" s="117"/>
      <c r="AJ19" s="117"/>
    </row>
    <row r="20" spans="2:36" ht="18" hidden="1" customHeight="1" x14ac:dyDescent="0.25">
      <c r="B20" s="143"/>
      <c r="C20" s="143"/>
      <c r="D20" s="143"/>
      <c r="E20" s="143"/>
      <c r="F20" s="161"/>
      <c r="G20" s="161"/>
      <c r="H20" s="143"/>
      <c r="L20" s="156"/>
      <c r="M20" s="156"/>
      <c r="N20" s="156"/>
      <c r="O20" s="156"/>
      <c r="P20" s="145"/>
      <c r="Q20" s="145"/>
      <c r="R20" s="110"/>
      <c r="S20" s="110"/>
      <c r="T20" s="110"/>
      <c r="U20" s="116"/>
      <c r="V20" s="111"/>
      <c r="W20" s="117"/>
      <c r="X20" s="117"/>
      <c r="Y20" s="117"/>
      <c r="Z20" s="117"/>
      <c r="AA20" s="117"/>
      <c r="AB20" s="117"/>
      <c r="AC20" s="117"/>
      <c r="AD20" s="117"/>
      <c r="AE20" s="117"/>
      <c r="AF20" s="117"/>
      <c r="AG20" s="117"/>
      <c r="AH20" s="117"/>
      <c r="AI20" s="117"/>
      <c r="AJ20" s="117"/>
    </row>
    <row r="21" spans="2:36" ht="18" hidden="1" customHeight="1" x14ac:dyDescent="0.25">
      <c r="B21" s="143"/>
      <c r="C21" s="143"/>
      <c r="D21" s="143"/>
      <c r="E21" s="143"/>
      <c r="F21" s="161"/>
      <c r="G21" s="161"/>
      <c r="H21" s="143"/>
      <c r="L21" s="156"/>
      <c r="M21" s="156"/>
      <c r="N21" s="156"/>
      <c r="O21" s="156"/>
      <c r="P21" s="153"/>
      <c r="Q21" s="153"/>
      <c r="R21" s="116"/>
      <c r="S21" s="116"/>
      <c r="T21" s="116"/>
      <c r="U21" s="116"/>
      <c r="V21" s="111"/>
      <c r="W21" s="117"/>
      <c r="X21" s="117"/>
      <c r="Y21" s="117"/>
      <c r="Z21" s="117"/>
      <c r="AA21" s="117"/>
      <c r="AB21" s="117"/>
      <c r="AC21" s="117"/>
      <c r="AD21" s="117"/>
      <c r="AE21" s="117"/>
      <c r="AF21" s="117"/>
      <c r="AG21" s="117"/>
      <c r="AH21" s="117"/>
      <c r="AI21" s="117"/>
      <c r="AJ21" s="117"/>
    </row>
    <row r="22" spans="2:36" ht="18" hidden="1" customHeight="1" x14ac:dyDescent="0.25">
      <c r="B22" s="143"/>
      <c r="C22" s="143"/>
      <c r="D22" s="143"/>
      <c r="E22" s="143"/>
      <c r="F22" s="161"/>
      <c r="G22" s="161"/>
      <c r="H22" s="143"/>
      <c r="L22" s="156"/>
      <c r="M22" s="156"/>
      <c r="N22" s="156"/>
      <c r="O22" s="156"/>
      <c r="P22" s="153"/>
      <c r="Q22" s="153"/>
      <c r="R22" s="116"/>
      <c r="S22" s="132"/>
      <c r="T22" s="132"/>
      <c r="U22" s="132"/>
      <c r="V22" s="129"/>
      <c r="W22" s="130"/>
      <c r="X22" s="130"/>
      <c r="Y22" s="130"/>
      <c r="Z22" s="130"/>
      <c r="AA22" s="130"/>
      <c r="AB22" s="130"/>
      <c r="AC22" s="130"/>
      <c r="AD22" s="130"/>
      <c r="AE22" s="130"/>
      <c r="AF22" s="130"/>
      <c r="AG22" s="117"/>
      <c r="AH22" s="117"/>
      <c r="AI22" s="117"/>
      <c r="AJ22" s="117"/>
    </row>
    <row r="23" spans="2:36" ht="18" hidden="1" customHeight="1" x14ac:dyDescent="0.25">
      <c r="B23" s="143"/>
      <c r="C23" s="143"/>
      <c r="D23" s="143"/>
      <c r="E23" s="143"/>
      <c r="F23" s="161"/>
      <c r="G23" s="161"/>
      <c r="H23" s="143"/>
      <c r="L23" s="156"/>
      <c r="M23" s="156"/>
      <c r="N23" s="156"/>
      <c r="O23" s="156"/>
      <c r="P23" s="153"/>
      <c r="Q23" s="153"/>
      <c r="R23" s="116"/>
      <c r="S23" s="132"/>
      <c r="T23" s="132"/>
      <c r="U23" s="132"/>
      <c r="V23" s="130"/>
      <c r="W23" s="130"/>
      <c r="X23" s="130"/>
      <c r="Y23" s="130"/>
      <c r="Z23" s="130"/>
      <c r="AA23" s="130"/>
      <c r="AB23" s="130"/>
      <c r="AC23" s="130"/>
      <c r="AD23" s="130"/>
      <c r="AE23" s="130"/>
      <c r="AF23" s="130"/>
      <c r="AG23" s="117"/>
      <c r="AH23" s="117"/>
      <c r="AI23" s="117"/>
      <c r="AJ23" s="117"/>
    </row>
    <row r="24" spans="2:36" ht="11.25" hidden="1" customHeight="1" x14ac:dyDescent="0.25">
      <c r="B24" s="143"/>
      <c r="C24" s="143"/>
      <c r="D24" s="143"/>
      <c r="E24" s="143"/>
      <c r="F24" s="161"/>
      <c r="G24" s="161"/>
      <c r="H24" s="143"/>
      <c r="I24" s="143"/>
      <c r="J24" s="143"/>
      <c r="K24" s="143"/>
      <c r="L24" s="156"/>
      <c r="M24" s="156"/>
      <c r="N24" s="156"/>
      <c r="O24" s="156"/>
      <c r="P24" s="153"/>
      <c r="Q24" s="153"/>
      <c r="R24" s="116"/>
      <c r="S24" s="132"/>
      <c r="T24" s="132"/>
      <c r="U24" s="132"/>
      <c r="V24" s="130"/>
      <c r="W24" s="130"/>
      <c r="X24" s="130"/>
      <c r="Y24" s="130"/>
      <c r="Z24" s="130"/>
      <c r="AA24" s="130"/>
      <c r="AB24" s="130"/>
      <c r="AC24" s="130"/>
      <c r="AD24" s="130"/>
      <c r="AE24" s="130"/>
      <c r="AF24" s="130"/>
      <c r="AG24" s="117"/>
      <c r="AH24" s="117"/>
      <c r="AI24" s="117"/>
      <c r="AJ24" s="117"/>
    </row>
    <row r="25" spans="2:36" ht="36.75" hidden="1" customHeight="1" x14ac:dyDescent="0.25">
      <c r="B25" s="143"/>
      <c r="C25" s="143"/>
      <c r="D25" s="143"/>
      <c r="E25" s="143"/>
      <c r="F25" s="161"/>
      <c r="G25" s="161"/>
      <c r="H25" s="143"/>
      <c r="L25" s="156"/>
      <c r="M25" s="156"/>
      <c r="N25" s="156"/>
      <c r="O25" s="156"/>
      <c r="P25" s="153"/>
      <c r="Q25" s="153"/>
      <c r="R25" s="133"/>
      <c r="S25" s="132"/>
      <c r="T25" s="132"/>
      <c r="U25" s="132"/>
      <c r="V25" s="131"/>
      <c r="W25" s="131"/>
      <c r="X25" s="131"/>
      <c r="Y25" s="131"/>
      <c r="Z25" s="131"/>
      <c r="AA25" s="131"/>
      <c r="AB25" s="131"/>
      <c r="AC25" s="131"/>
      <c r="AD25" s="130"/>
      <c r="AE25" s="130"/>
      <c r="AF25" s="130"/>
      <c r="AG25" s="117"/>
      <c r="AH25" s="117"/>
      <c r="AI25" s="117"/>
      <c r="AJ25" s="117"/>
    </row>
    <row r="26" spans="2:36" ht="45" hidden="1" customHeight="1" x14ac:dyDescent="0.25">
      <c r="B26" s="143"/>
      <c r="C26" s="143"/>
      <c r="D26" s="143"/>
      <c r="E26" s="143"/>
      <c r="F26" s="161"/>
      <c r="G26" s="161"/>
      <c r="H26" s="143"/>
      <c r="L26" s="143"/>
      <c r="M26" s="143"/>
      <c r="N26" s="143"/>
      <c r="O26" s="143"/>
      <c r="P26" s="145"/>
      <c r="Q26" s="153"/>
      <c r="R26" s="116"/>
      <c r="S26" s="132"/>
      <c r="T26" s="127"/>
      <c r="U26" s="127"/>
      <c r="V26" s="128"/>
      <c r="W26" s="128"/>
      <c r="X26" s="128"/>
      <c r="Y26" s="128"/>
      <c r="Z26" s="128"/>
      <c r="AA26" s="128"/>
      <c r="AB26" s="128"/>
      <c r="AC26" s="128"/>
      <c r="AD26" s="129"/>
      <c r="AE26" s="130"/>
      <c r="AF26" s="130"/>
      <c r="AG26" s="117"/>
      <c r="AH26" s="117"/>
      <c r="AI26" s="117"/>
      <c r="AJ26" s="117"/>
    </row>
    <row r="27" spans="2:36" ht="14.45" customHeight="1" x14ac:dyDescent="0.25">
      <c r="P27" s="110"/>
      <c r="Q27" s="116"/>
      <c r="R27" s="116"/>
      <c r="S27" s="132"/>
      <c r="T27" s="127"/>
      <c r="U27" s="127"/>
      <c r="V27" s="128"/>
      <c r="W27" s="128"/>
      <c r="X27" s="128"/>
      <c r="Y27" s="128" t="str">
        <f>ROUNDDOWN((((E8*12+F8)/K8)/12),0)&amp;" ft. "&amp;((E8*12+F8)/K8)-ROUNDDOWN((((E8*12+F8)/K8)/12),0)*12&amp;" in."</f>
        <v>10 ft. 0.666666666666671 in.</v>
      </c>
      <c r="Z27" s="128"/>
      <c r="AA27" s="128"/>
      <c r="AB27" s="128"/>
      <c r="AC27" s="129"/>
      <c r="AD27" s="129"/>
      <c r="AE27" s="130"/>
      <c r="AF27" s="130"/>
      <c r="AG27" s="117"/>
      <c r="AH27" s="117"/>
      <c r="AI27" s="117"/>
      <c r="AJ27" s="117"/>
    </row>
    <row r="28" spans="2:36" ht="14.45" customHeight="1" x14ac:dyDescent="0.25">
      <c r="E28" s="78"/>
      <c r="P28" s="110"/>
      <c r="Q28" s="116"/>
      <c r="R28" s="116"/>
      <c r="S28" s="132"/>
      <c r="T28" s="127"/>
      <c r="U28" s="127"/>
      <c r="V28" s="128" t="s">
        <v>34</v>
      </c>
      <c r="W28" s="128"/>
      <c r="X28" s="128" t="str">
        <f>C8&amp;" ft. "&amp;IF(D8=0,"",D8&amp;" in.")</f>
        <v>14 ft. 2 in.</v>
      </c>
      <c r="Y28" s="128"/>
      <c r="Z28" s="128"/>
      <c r="AA28" s="128"/>
      <c r="AB28" s="128"/>
      <c r="AC28" s="129"/>
      <c r="AD28" s="129"/>
      <c r="AE28" s="130"/>
      <c r="AF28" s="130"/>
      <c r="AG28" s="117"/>
      <c r="AH28" s="117"/>
      <c r="AI28" s="117"/>
      <c r="AJ28" s="117"/>
    </row>
    <row r="29" spans="2:36" ht="14.45" customHeight="1" x14ac:dyDescent="0.25">
      <c r="E29" s="84"/>
      <c r="P29" s="110"/>
      <c r="Q29" s="110"/>
      <c r="R29" s="110"/>
      <c r="S29" s="132"/>
      <c r="T29" s="127"/>
      <c r="U29" s="127"/>
      <c r="V29" s="128" t="s">
        <v>35</v>
      </c>
      <c r="W29" s="128"/>
      <c r="X29" s="128" t="str">
        <f>K8&amp;IF(K8=1," bay @ "," bays @ ")&amp;Y27&amp;" ( "&amp;E8&amp;" ft. "&amp;IF(F8=0,"",F8&amp;" in. total )")</f>
        <v>3 bays @ 10 ft. 0.666666666666671 in. ( 30 ft. 2 in. total )</v>
      </c>
      <c r="Y29" s="128"/>
      <c r="Z29" s="128"/>
      <c r="AA29" s="128"/>
      <c r="AB29" s="128"/>
      <c r="AC29" s="129"/>
      <c r="AD29" s="129"/>
      <c r="AE29" s="130"/>
      <c r="AF29" s="130"/>
      <c r="AG29" s="117"/>
      <c r="AH29" s="117"/>
      <c r="AI29" s="117"/>
      <c r="AJ29" s="117"/>
    </row>
    <row r="30" spans="2:36" ht="14.45" customHeight="1" x14ac:dyDescent="0.25">
      <c r="E30" s="84"/>
      <c r="P30" s="110"/>
      <c r="Q30" s="110" t="s">
        <v>36</v>
      </c>
      <c r="R30" s="110"/>
      <c r="S30" s="132"/>
      <c r="T30" s="127"/>
      <c r="U30" s="127"/>
      <c r="V30" s="128"/>
      <c r="W30" s="128"/>
      <c r="X30" s="128"/>
      <c r="Y30" s="128"/>
      <c r="Z30" s="128"/>
      <c r="AA30" s="128"/>
      <c r="AB30" s="128"/>
      <c r="AC30" s="129"/>
      <c r="AD30" s="129"/>
      <c r="AE30" s="130"/>
      <c r="AF30" s="130"/>
      <c r="AG30" s="117"/>
      <c r="AH30" s="117"/>
      <c r="AI30" s="117"/>
      <c r="AJ30" s="117"/>
    </row>
    <row r="31" spans="2:36" ht="14.45" customHeight="1" x14ac:dyDescent="0.25">
      <c r="C31" s="174"/>
      <c r="D31" s="174"/>
      <c r="P31" s="110"/>
      <c r="Q31" s="110" t="s">
        <v>37</v>
      </c>
      <c r="R31" s="110"/>
      <c r="S31" s="132"/>
      <c r="T31" s="127"/>
      <c r="U31" s="127"/>
      <c r="V31" s="128" t="s">
        <v>38</v>
      </c>
      <c r="W31" s="128"/>
      <c r="X31" s="128"/>
      <c r="Y31" s="128"/>
      <c r="Z31" s="128"/>
      <c r="AA31" s="128"/>
      <c r="AB31" s="128"/>
      <c r="AC31" s="129"/>
      <c r="AD31" s="129"/>
      <c r="AE31" s="130"/>
      <c r="AF31" s="130"/>
      <c r="AG31" s="117"/>
      <c r="AH31" s="117"/>
      <c r="AI31" s="117"/>
      <c r="AJ31" s="117"/>
    </row>
    <row r="32" spans="2:36" x14ac:dyDescent="0.25">
      <c r="P32" s="110"/>
      <c r="Q32" s="110"/>
      <c r="R32" s="110"/>
      <c r="S32" s="132"/>
      <c r="T32" s="127"/>
      <c r="U32" s="127"/>
      <c r="V32" s="128"/>
      <c r="W32" s="128"/>
      <c r="X32" s="128" t="s">
        <v>39</v>
      </c>
      <c r="Y32" s="128"/>
      <c r="Z32" s="128"/>
      <c r="AA32" s="128"/>
      <c r="AB32" s="128"/>
      <c r="AC32" s="129"/>
      <c r="AD32" s="129"/>
      <c r="AE32" s="130"/>
      <c r="AF32" s="130"/>
      <c r="AG32" s="117"/>
      <c r="AH32" s="117"/>
      <c r="AI32" s="117"/>
      <c r="AJ32" s="117"/>
    </row>
    <row r="33" spans="16:36" x14ac:dyDescent="0.25">
      <c r="P33" s="110"/>
      <c r="Q33" s="110"/>
      <c r="R33" s="110"/>
      <c r="S33" s="132"/>
      <c r="T33" s="127"/>
      <c r="U33" s="127"/>
      <c r="V33" s="128" t="s">
        <v>40</v>
      </c>
      <c r="W33" s="128"/>
      <c r="X33" s="128">
        <f>E8*12</f>
        <v>360</v>
      </c>
      <c r="Y33" s="128" t="s">
        <v>41</v>
      </c>
      <c r="Z33" s="128">
        <f>1/MAX(X33:X34)</f>
        <v>2.7777777777777779E-3</v>
      </c>
      <c r="AA33" s="128"/>
      <c r="AB33" s="128"/>
      <c r="AC33" s="129"/>
      <c r="AD33" s="129"/>
      <c r="AE33" s="130"/>
      <c r="AF33" s="130"/>
      <c r="AG33" s="117"/>
      <c r="AH33" s="117"/>
      <c r="AI33" s="117"/>
      <c r="AJ33" s="117"/>
    </row>
    <row r="34" spans="16:36" x14ac:dyDescent="0.25">
      <c r="P34" s="110"/>
      <c r="Q34" s="110"/>
      <c r="R34" s="110"/>
      <c r="S34" s="132"/>
      <c r="T34" s="127"/>
      <c r="U34" s="127"/>
      <c r="V34" s="128"/>
      <c r="W34" s="128"/>
      <c r="X34" s="128">
        <f>C8*12</f>
        <v>168</v>
      </c>
      <c r="Y34" s="128" t="s">
        <v>42</v>
      </c>
      <c r="Z34" s="128">
        <f>1/MAX(X33:X34)</f>
        <v>2.7777777777777779E-3</v>
      </c>
      <c r="AA34" s="128"/>
      <c r="AB34" s="128"/>
      <c r="AC34" s="129"/>
      <c r="AD34" s="129"/>
      <c r="AE34" s="130"/>
      <c r="AF34" s="130"/>
      <c r="AG34" s="117"/>
      <c r="AH34" s="117"/>
      <c r="AI34" s="117"/>
      <c r="AJ34" s="117"/>
    </row>
    <row r="35" spans="16:36" x14ac:dyDescent="0.25">
      <c r="P35" s="110"/>
      <c r="Q35" s="110"/>
      <c r="R35" s="110"/>
      <c r="S35" s="132"/>
      <c r="T35" s="127"/>
      <c r="U35" s="127"/>
      <c r="V35" s="128"/>
      <c r="W35" s="128"/>
      <c r="X35" s="128"/>
      <c r="Y35" s="128"/>
      <c r="Z35" s="128"/>
      <c r="AA35" s="128"/>
      <c r="AB35" s="128"/>
      <c r="AC35" s="129"/>
      <c r="AD35" s="129"/>
      <c r="AE35" s="130"/>
      <c r="AF35" s="130"/>
      <c r="AG35" s="117"/>
      <c r="AH35" s="117"/>
      <c r="AI35" s="117"/>
      <c r="AJ35" s="117"/>
    </row>
    <row r="36" spans="16:36" x14ac:dyDescent="0.25">
      <c r="P36" s="110">
        <f>(C8*12+D8)*(E8*12+F8)/144</f>
        <v>427.36111111111109</v>
      </c>
      <c r="Q36" s="110"/>
      <c r="R36" s="110"/>
      <c r="S36" s="132"/>
      <c r="T36" s="127"/>
      <c r="U36" s="127"/>
      <c r="V36" s="128"/>
      <c r="W36" s="128" t="s">
        <v>43</v>
      </c>
      <c r="X36" s="128"/>
      <c r="Y36" s="128"/>
      <c r="Z36" s="128"/>
      <c r="AA36" s="128" t="s">
        <v>44</v>
      </c>
      <c r="AB36" s="128"/>
      <c r="AC36" s="129"/>
      <c r="AD36" s="129"/>
      <c r="AE36" s="130"/>
      <c r="AF36" s="130"/>
      <c r="AG36" s="117"/>
      <c r="AH36" s="117"/>
      <c r="AI36" s="117"/>
      <c r="AJ36" s="117"/>
    </row>
    <row r="37" spans="16:36" x14ac:dyDescent="0.25">
      <c r="P37" s="110"/>
      <c r="Q37" s="110"/>
      <c r="R37" s="110"/>
      <c r="S37" s="132"/>
      <c r="T37" s="127"/>
      <c r="U37" s="127"/>
      <c r="V37" s="128"/>
      <c r="W37" s="128">
        <v>0</v>
      </c>
      <c r="X37" s="128">
        <v>0</v>
      </c>
      <c r="Y37" s="128"/>
      <c r="Z37" s="128"/>
      <c r="AA37" s="128">
        <v>0</v>
      </c>
      <c r="AB37" s="128">
        <f>X38</f>
        <v>0.46666666666666667</v>
      </c>
      <c r="AC37" s="129"/>
      <c r="AD37" s="129"/>
      <c r="AE37" s="130"/>
      <c r="AF37" s="130"/>
      <c r="AG37" s="117"/>
      <c r="AH37" s="117"/>
      <c r="AI37" s="117"/>
      <c r="AJ37" s="117"/>
    </row>
    <row r="38" spans="16:36" x14ac:dyDescent="0.25">
      <c r="P38" s="111"/>
      <c r="Q38" s="111"/>
      <c r="R38" s="111"/>
      <c r="S38" s="129"/>
      <c r="T38" s="129"/>
      <c r="U38" s="129"/>
      <c r="V38" s="128"/>
      <c r="W38" s="128">
        <v>0</v>
      </c>
      <c r="X38" s="128">
        <f>X34*Z34</f>
        <v>0.46666666666666667</v>
      </c>
      <c r="Y38" s="128"/>
      <c r="Z38" s="128"/>
      <c r="AA38" s="128">
        <f>X33*Z33</f>
        <v>1</v>
      </c>
      <c r="AB38" s="128">
        <f>AB37</f>
        <v>0.46666666666666667</v>
      </c>
      <c r="AC38" s="129"/>
      <c r="AD38" s="129"/>
      <c r="AE38" s="130"/>
      <c r="AF38" s="130"/>
      <c r="AG38" s="117"/>
      <c r="AH38" s="117"/>
      <c r="AI38" s="117"/>
      <c r="AJ38" s="117"/>
    </row>
    <row r="39" spans="16:36" x14ac:dyDescent="0.25">
      <c r="P39" s="111"/>
      <c r="Q39" s="111"/>
      <c r="R39" s="111"/>
      <c r="S39" s="129"/>
      <c r="T39" s="129"/>
      <c r="U39" s="129"/>
      <c r="V39" s="128"/>
      <c r="W39" s="128"/>
      <c r="X39" s="128"/>
      <c r="Y39" s="128"/>
      <c r="Z39" s="128"/>
      <c r="AA39" s="128"/>
      <c r="AB39" s="128"/>
      <c r="AC39" s="129"/>
      <c r="AD39" s="129"/>
      <c r="AE39" s="130"/>
      <c r="AF39" s="130"/>
      <c r="AG39" s="117"/>
      <c r="AH39" s="117"/>
      <c r="AI39" s="117"/>
      <c r="AJ39" s="117"/>
    </row>
    <row r="40" spans="16:36" x14ac:dyDescent="0.25">
      <c r="P40" s="111"/>
      <c r="Q40" s="111"/>
      <c r="R40" s="111"/>
      <c r="S40" s="129"/>
      <c r="T40" s="129"/>
      <c r="U40" s="129"/>
      <c r="V40" s="128"/>
      <c r="W40" s="128">
        <f>X33*Z33</f>
        <v>1</v>
      </c>
      <c r="X40" s="128">
        <f>X38</f>
        <v>0.46666666666666667</v>
      </c>
      <c r="Y40" s="128"/>
      <c r="Z40" s="128"/>
      <c r="AA40" s="128">
        <f>AA38</f>
        <v>1</v>
      </c>
      <c r="AB40" s="128">
        <v>0</v>
      </c>
      <c r="AC40" s="129"/>
      <c r="AD40" s="129"/>
      <c r="AE40" s="130"/>
      <c r="AF40" s="130"/>
      <c r="AG40" s="117"/>
      <c r="AH40" s="117"/>
      <c r="AI40" s="117"/>
      <c r="AJ40" s="117"/>
    </row>
    <row r="41" spans="16:36" x14ac:dyDescent="0.25">
      <c r="P41" s="111"/>
      <c r="Q41" s="111"/>
      <c r="R41" s="111"/>
      <c r="S41" s="129"/>
      <c r="T41" s="129"/>
      <c r="U41" s="129"/>
      <c r="V41" s="128"/>
      <c r="W41" s="128">
        <f>W40</f>
        <v>1</v>
      </c>
      <c r="X41" s="128">
        <v>0</v>
      </c>
      <c r="Y41" s="128"/>
      <c r="Z41" s="128"/>
      <c r="AA41" s="128">
        <v>0</v>
      </c>
      <c r="AB41" s="128">
        <v>0</v>
      </c>
      <c r="AC41" s="129"/>
      <c r="AD41" s="129"/>
      <c r="AE41" s="130"/>
      <c r="AF41" s="130"/>
      <c r="AG41" s="117"/>
      <c r="AH41" s="117"/>
      <c r="AI41" s="117"/>
      <c r="AJ41" s="117"/>
    </row>
    <row r="42" spans="16:36" x14ac:dyDescent="0.25">
      <c r="P42" s="111"/>
      <c r="Q42" s="111"/>
      <c r="R42" s="111"/>
      <c r="S42" s="129"/>
      <c r="T42" s="129"/>
      <c r="U42" s="129"/>
      <c r="V42" s="128"/>
      <c r="W42" s="128"/>
      <c r="X42" s="128"/>
      <c r="Y42" s="128"/>
      <c r="Z42" s="128"/>
      <c r="AA42" s="128"/>
      <c r="AB42" s="128"/>
      <c r="AC42" s="129"/>
      <c r="AD42" s="129"/>
      <c r="AE42" s="130"/>
      <c r="AF42" s="130"/>
      <c r="AG42" s="117"/>
      <c r="AH42" s="117"/>
      <c r="AI42" s="117"/>
      <c r="AJ42" s="117"/>
    </row>
    <row r="43" spans="16:36" x14ac:dyDescent="0.25">
      <c r="P43" s="111"/>
      <c r="Q43" s="111"/>
      <c r="R43" s="111"/>
      <c r="S43" s="129"/>
      <c r="T43" s="129"/>
      <c r="U43" s="129"/>
      <c r="V43" s="128"/>
      <c r="W43" s="128">
        <f>($X$33*$Z$33)/$K$8</f>
        <v>0.33333333333333331</v>
      </c>
      <c r="X43" s="128">
        <f>X40</f>
        <v>0.46666666666666667</v>
      </c>
      <c r="Y43" s="128"/>
      <c r="Z43" s="128"/>
      <c r="AA43" s="128"/>
      <c r="AB43" s="128"/>
      <c r="AC43" s="129"/>
      <c r="AD43" s="129"/>
      <c r="AE43" s="130"/>
      <c r="AF43" s="130"/>
      <c r="AG43" s="117"/>
      <c r="AH43" s="117"/>
      <c r="AI43" s="117"/>
      <c r="AJ43" s="117"/>
    </row>
    <row r="44" spans="16:36" x14ac:dyDescent="0.25">
      <c r="P44" s="111"/>
      <c r="Q44" s="111"/>
      <c r="R44" s="111"/>
      <c r="S44" s="129"/>
      <c r="T44" s="129"/>
      <c r="U44" s="129"/>
      <c r="V44" s="128"/>
      <c r="W44" s="128">
        <f>W43</f>
        <v>0.33333333333333331</v>
      </c>
      <c r="X44" s="128">
        <v>0</v>
      </c>
      <c r="Y44" s="128"/>
      <c r="Z44" s="128"/>
      <c r="AA44" s="128"/>
      <c r="AB44" s="128"/>
      <c r="AC44" s="129"/>
      <c r="AD44" s="129"/>
      <c r="AE44" s="130"/>
      <c r="AF44" s="130"/>
      <c r="AG44" s="117"/>
      <c r="AH44" s="117"/>
      <c r="AI44" s="117"/>
      <c r="AJ44" s="117"/>
    </row>
    <row r="45" spans="16:36" x14ac:dyDescent="0.25">
      <c r="P45" s="111"/>
      <c r="Q45" s="111"/>
      <c r="R45" s="111"/>
      <c r="S45" s="129"/>
      <c r="T45" s="129"/>
      <c r="U45" s="129"/>
      <c r="V45" s="128"/>
      <c r="W45" s="128"/>
      <c r="X45" s="128"/>
      <c r="Y45" s="128"/>
      <c r="Z45" s="128" t="s">
        <v>45</v>
      </c>
      <c r="AA45" s="128"/>
      <c r="AB45" s="128" t="str">
        <f>IF(((E8+F8/12)/K8)&lt;K14,"OK","Fail")</f>
        <v>OK</v>
      </c>
      <c r="AC45" s="129"/>
      <c r="AD45" s="129"/>
      <c r="AE45" s="130"/>
      <c r="AF45" s="130"/>
      <c r="AG45" s="117"/>
      <c r="AH45" s="117"/>
      <c r="AI45" s="117"/>
      <c r="AJ45" s="117"/>
    </row>
    <row r="46" spans="16:36" x14ac:dyDescent="0.25">
      <c r="P46" s="111"/>
      <c r="Q46" s="111"/>
      <c r="R46" s="111"/>
      <c r="S46" s="129"/>
      <c r="T46" s="129"/>
      <c r="U46" s="129"/>
      <c r="V46" s="128"/>
      <c r="W46" s="128">
        <f>($X$33*$Z$33)/$K$8+W43</f>
        <v>0.66666666666666663</v>
      </c>
      <c r="X46" s="128">
        <f>X43</f>
        <v>0.46666666666666667</v>
      </c>
      <c r="Y46" s="128"/>
      <c r="Z46" s="128" t="s">
        <v>46</v>
      </c>
      <c r="AA46" s="128"/>
      <c r="AB46" s="128" t="str">
        <f>IF((C8+D8/12)&lt;K15,"OK","Fail")</f>
        <v>OK</v>
      </c>
      <c r="AC46" s="129"/>
      <c r="AD46" s="129"/>
      <c r="AE46" s="130"/>
      <c r="AF46" s="130"/>
      <c r="AG46" s="117"/>
      <c r="AH46" s="117"/>
    </row>
    <row r="47" spans="16:36" x14ac:dyDescent="0.25">
      <c r="P47" s="111"/>
      <c r="Q47" s="111"/>
      <c r="R47" s="111"/>
      <c r="S47" s="129"/>
      <c r="T47" s="129"/>
      <c r="U47" s="129"/>
      <c r="V47" s="128"/>
      <c r="W47" s="128">
        <f>W46</f>
        <v>0.66666666666666663</v>
      </c>
      <c r="X47" s="128">
        <v>0</v>
      </c>
      <c r="Y47" s="128"/>
      <c r="Z47" s="128" t="s">
        <v>47</v>
      </c>
      <c r="AA47" s="128"/>
      <c r="AB47" s="128" t="str">
        <f>IF((C8+D8/12)&lt;K16,"OK","Fail")</f>
        <v>OK</v>
      </c>
      <c r="AC47" s="129"/>
      <c r="AD47" s="129"/>
      <c r="AE47" s="130"/>
      <c r="AF47" s="130"/>
      <c r="AG47" s="117"/>
      <c r="AH47" s="117"/>
    </row>
    <row r="48" spans="16:36" x14ac:dyDescent="0.25">
      <c r="P48" s="111"/>
      <c r="Q48" s="111"/>
      <c r="R48" s="111"/>
      <c r="S48" s="129"/>
      <c r="T48" s="129"/>
      <c r="U48" s="129"/>
      <c r="V48" s="128"/>
      <c r="W48" s="128"/>
      <c r="X48" s="128"/>
      <c r="Y48" s="128"/>
      <c r="Z48" s="128" t="s">
        <v>31</v>
      </c>
      <c r="AA48" s="128"/>
      <c r="AB48" s="128" t="str">
        <f>IF(((E8+F8/12)/K8)&lt;K17,"OK","Fail")</f>
        <v>OK</v>
      </c>
      <c r="AC48" s="129"/>
      <c r="AD48" s="129"/>
      <c r="AE48" s="130"/>
      <c r="AF48" s="130"/>
      <c r="AG48" s="117"/>
      <c r="AH48" s="117"/>
    </row>
    <row r="49" spans="16:35" x14ac:dyDescent="0.25">
      <c r="P49" s="111"/>
      <c r="Q49" s="111"/>
      <c r="R49" s="111"/>
      <c r="S49" s="129"/>
      <c r="T49" s="129"/>
      <c r="U49" s="129"/>
      <c r="V49" s="128"/>
      <c r="W49" s="128">
        <f>($X$33*$Z$33)/$K$8+W46</f>
        <v>1</v>
      </c>
      <c r="X49" s="128">
        <f>X46</f>
        <v>0.46666666666666667</v>
      </c>
      <c r="Y49" s="128"/>
      <c r="Z49" s="128"/>
      <c r="AA49" s="128"/>
      <c r="AB49" s="128"/>
      <c r="AC49" s="129"/>
      <c r="AD49" s="129"/>
      <c r="AE49" s="130"/>
      <c r="AF49" s="130"/>
      <c r="AG49" s="117"/>
      <c r="AH49" s="117"/>
    </row>
    <row r="50" spans="16:35" x14ac:dyDescent="0.25">
      <c r="P50" s="111"/>
      <c r="Q50" s="117"/>
      <c r="R50" s="117"/>
      <c r="S50" s="130"/>
      <c r="T50" s="129"/>
      <c r="U50" s="129"/>
      <c r="V50" s="128"/>
      <c r="W50" s="128">
        <f>W49</f>
        <v>1</v>
      </c>
      <c r="X50" s="128">
        <v>0</v>
      </c>
      <c r="Y50" s="128"/>
      <c r="Z50" s="128"/>
      <c r="AA50" s="128"/>
      <c r="AB50" s="128"/>
      <c r="AC50" s="129"/>
      <c r="AD50" s="129"/>
      <c r="AE50" s="130"/>
      <c r="AF50" s="130"/>
      <c r="AG50" s="117"/>
      <c r="AH50" s="117"/>
      <c r="AI50" s="117"/>
    </row>
    <row r="51" spans="16:35" x14ac:dyDescent="0.25">
      <c r="P51" s="111"/>
      <c r="Q51" s="117"/>
      <c r="R51" s="117"/>
      <c r="S51" s="130"/>
      <c r="T51" s="129"/>
      <c r="U51" s="129"/>
      <c r="V51" s="128"/>
      <c r="W51" s="128"/>
      <c r="X51" s="128"/>
      <c r="Y51" s="128"/>
      <c r="Z51" s="128"/>
      <c r="AA51" s="128"/>
      <c r="AB51" s="128"/>
      <c r="AC51" s="129"/>
      <c r="AD51" s="129"/>
      <c r="AE51" s="130"/>
      <c r="AF51" s="130"/>
      <c r="AG51" s="117"/>
      <c r="AH51" s="117"/>
      <c r="AI51" s="117"/>
    </row>
    <row r="52" spans="16:35" x14ac:dyDescent="0.25">
      <c r="P52" s="111"/>
      <c r="Q52" s="117"/>
      <c r="R52" s="117"/>
      <c r="S52" s="130"/>
      <c r="T52" s="129"/>
      <c r="U52" s="129"/>
      <c r="V52" s="128"/>
      <c r="W52" s="128">
        <f>($X$33*$Z$33)/$K$8+W49</f>
        <v>1.3333333333333333</v>
      </c>
      <c r="X52" s="128">
        <f>X49</f>
        <v>0.46666666666666667</v>
      </c>
      <c r="Y52" s="128"/>
      <c r="Z52" s="128"/>
      <c r="AA52" s="128"/>
      <c r="AB52" s="128"/>
      <c r="AC52" s="129"/>
      <c r="AD52" s="129"/>
      <c r="AE52" s="130"/>
      <c r="AF52" s="130"/>
      <c r="AG52" s="117"/>
      <c r="AH52" s="117"/>
      <c r="AI52" s="117"/>
    </row>
    <row r="53" spans="16:35" x14ac:dyDescent="0.25">
      <c r="P53" s="111"/>
      <c r="Q53" s="117"/>
      <c r="R53" s="117"/>
      <c r="S53" s="130"/>
      <c r="T53" s="129"/>
      <c r="U53" s="129"/>
      <c r="V53" s="128"/>
      <c r="W53" s="128">
        <f>W52</f>
        <v>1.3333333333333333</v>
      </c>
      <c r="X53" s="128">
        <v>0</v>
      </c>
      <c r="Y53" s="128"/>
      <c r="Z53" s="128"/>
      <c r="AA53" s="128"/>
      <c r="AB53" s="128"/>
      <c r="AC53" s="129"/>
      <c r="AD53" s="129"/>
      <c r="AE53" s="130"/>
      <c r="AF53" s="130"/>
      <c r="AG53" s="117"/>
      <c r="AH53" s="117"/>
      <c r="AI53" s="117"/>
    </row>
    <row r="54" spans="16:35" x14ac:dyDescent="0.25">
      <c r="P54" s="111"/>
      <c r="Q54" s="117"/>
      <c r="R54" s="117"/>
      <c r="S54" s="130"/>
      <c r="T54" s="129"/>
      <c r="U54" s="129"/>
      <c r="V54" s="128"/>
      <c r="W54" s="128"/>
      <c r="X54" s="128"/>
      <c r="Y54" s="128"/>
      <c r="Z54" s="128"/>
      <c r="AA54" s="128"/>
      <c r="AB54" s="128"/>
      <c r="AC54" s="129"/>
      <c r="AD54" s="129"/>
      <c r="AE54" s="130"/>
      <c r="AF54" s="130"/>
      <c r="AG54" s="117"/>
      <c r="AH54" s="117"/>
      <c r="AI54" s="117"/>
    </row>
    <row r="55" spans="16:35" x14ac:dyDescent="0.25">
      <c r="P55" s="111"/>
      <c r="Q55" s="117"/>
      <c r="R55" s="117"/>
      <c r="S55" s="117"/>
      <c r="T55" s="111"/>
      <c r="U55" s="129"/>
      <c r="V55" s="128"/>
      <c r="W55" s="128">
        <f>($X$33*$Z$33)/$K$8+W52</f>
        <v>1.6666666666666665</v>
      </c>
      <c r="X55" s="128">
        <f>X52</f>
        <v>0.46666666666666667</v>
      </c>
      <c r="Y55" s="128"/>
      <c r="Z55" s="128"/>
      <c r="AA55" s="128"/>
      <c r="AB55" s="128"/>
      <c r="AC55" s="129"/>
      <c r="AD55" s="129"/>
      <c r="AE55" s="117"/>
      <c r="AF55" s="117"/>
      <c r="AG55" s="117"/>
      <c r="AH55" s="117"/>
      <c r="AI55" s="117"/>
    </row>
    <row r="56" spans="16:35" x14ac:dyDescent="0.25">
      <c r="P56" s="111"/>
      <c r="Q56" s="117"/>
      <c r="R56" s="117"/>
      <c r="S56" s="117"/>
      <c r="T56" s="111"/>
      <c r="U56" s="129"/>
      <c r="V56" s="128"/>
      <c r="W56" s="128">
        <f>W55</f>
        <v>1.6666666666666665</v>
      </c>
      <c r="X56" s="128">
        <v>0</v>
      </c>
      <c r="Y56" s="128"/>
      <c r="Z56" s="128"/>
      <c r="AA56" s="128"/>
      <c r="AB56" s="128"/>
      <c r="AC56" s="129"/>
      <c r="AD56" s="129"/>
      <c r="AE56" s="117"/>
      <c r="AF56" s="117"/>
      <c r="AG56" s="117"/>
      <c r="AH56" s="117"/>
      <c r="AI56" s="117"/>
    </row>
    <row r="57" spans="16:35" x14ac:dyDescent="0.25">
      <c r="P57" s="111"/>
      <c r="Q57" s="117"/>
      <c r="R57" s="117"/>
      <c r="S57" s="117"/>
      <c r="T57" s="111"/>
      <c r="U57" s="129"/>
      <c r="V57" s="128"/>
      <c r="W57" s="128"/>
      <c r="X57" s="128"/>
      <c r="Y57" s="128"/>
      <c r="Z57" s="128"/>
      <c r="AA57" s="128"/>
      <c r="AB57" s="128"/>
      <c r="AC57" s="129"/>
      <c r="AD57" s="129"/>
      <c r="AE57" s="117"/>
      <c r="AF57" s="117"/>
      <c r="AG57" s="117"/>
      <c r="AH57" s="117"/>
      <c r="AI57" s="117"/>
    </row>
    <row r="58" spans="16:35" x14ac:dyDescent="0.25">
      <c r="P58" s="111"/>
      <c r="Q58" s="117"/>
      <c r="R58" s="117"/>
      <c r="S58" s="117"/>
      <c r="T58" s="111"/>
      <c r="U58" s="129"/>
      <c r="V58" s="128"/>
      <c r="W58" s="128">
        <f>($X$33*$Z$33)/$K$8+W55</f>
        <v>1.9999999999999998</v>
      </c>
      <c r="X58" s="128">
        <f>X55</f>
        <v>0.46666666666666667</v>
      </c>
      <c r="Y58" s="128"/>
      <c r="Z58" s="128"/>
      <c r="AA58" s="128"/>
      <c r="AB58" s="128"/>
      <c r="AC58" s="129"/>
      <c r="AD58" s="129"/>
      <c r="AE58" s="117"/>
      <c r="AF58" s="117"/>
      <c r="AG58" s="117"/>
      <c r="AH58" s="117"/>
      <c r="AI58" s="117"/>
    </row>
    <row r="59" spans="16:35" x14ac:dyDescent="0.25">
      <c r="P59" s="111"/>
      <c r="Q59" s="117"/>
      <c r="R59" s="117"/>
      <c r="S59" s="117"/>
      <c r="T59" s="111"/>
      <c r="U59" s="129"/>
      <c r="V59" s="128"/>
      <c r="W59" s="128">
        <f>W58</f>
        <v>1.9999999999999998</v>
      </c>
      <c r="X59" s="128">
        <v>0</v>
      </c>
      <c r="Y59" s="128"/>
      <c r="Z59" s="128"/>
      <c r="AA59" s="128"/>
      <c r="AB59" s="128"/>
      <c r="AC59" s="129"/>
      <c r="AD59" s="129"/>
      <c r="AE59" s="117"/>
      <c r="AF59" s="117"/>
      <c r="AG59" s="117"/>
      <c r="AH59" s="117"/>
      <c r="AI59" s="117"/>
    </row>
    <row r="60" spans="16:35" x14ac:dyDescent="0.25">
      <c r="P60" s="111"/>
      <c r="Q60" s="117"/>
      <c r="R60" s="117"/>
      <c r="S60" s="117"/>
      <c r="T60" s="111"/>
      <c r="U60" s="129"/>
      <c r="V60" s="128"/>
      <c r="W60" s="128"/>
      <c r="X60" s="128"/>
      <c r="Y60" s="128"/>
      <c r="Z60" s="128"/>
      <c r="AA60" s="128"/>
      <c r="AB60" s="128"/>
      <c r="AC60" s="129"/>
      <c r="AD60" s="129"/>
      <c r="AE60" s="117"/>
      <c r="AF60" s="117"/>
      <c r="AG60" s="117"/>
      <c r="AH60" s="117"/>
      <c r="AI60" s="117"/>
    </row>
    <row r="61" spans="16:35" x14ac:dyDescent="0.25">
      <c r="P61" s="111"/>
      <c r="Q61" s="117"/>
      <c r="R61" s="117"/>
      <c r="S61" s="117"/>
      <c r="T61" s="111"/>
      <c r="U61" s="129"/>
      <c r="V61" s="128"/>
      <c r="W61" s="128">
        <f>($X$33*$Z$33)/$K$8+W58</f>
        <v>2.333333333333333</v>
      </c>
      <c r="X61" s="128">
        <f>X58</f>
        <v>0.46666666666666667</v>
      </c>
      <c r="Y61" s="128"/>
      <c r="Z61" s="128"/>
      <c r="AA61" s="128"/>
      <c r="AB61" s="128"/>
      <c r="AC61" s="129"/>
      <c r="AD61" s="129"/>
      <c r="AE61" s="117"/>
      <c r="AF61" s="117"/>
      <c r="AG61" s="117"/>
      <c r="AH61" s="117"/>
      <c r="AI61" s="117"/>
    </row>
    <row r="62" spans="16:35" x14ac:dyDescent="0.25">
      <c r="P62" s="111"/>
      <c r="Q62" s="117"/>
      <c r="R62" s="117"/>
      <c r="S62" s="117"/>
      <c r="T62" s="111"/>
      <c r="U62" s="129"/>
      <c r="V62" s="128"/>
      <c r="W62" s="128">
        <f>W61</f>
        <v>2.333333333333333</v>
      </c>
      <c r="X62" s="128">
        <v>0</v>
      </c>
      <c r="Y62" s="128"/>
      <c r="Z62" s="128"/>
      <c r="AA62" s="128"/>
      <c r="AB62" s="128"/>
      <c r="AC62" s="129"/>
      <c r="AD62" s="129"/>
      <c r="AE62" s="117"/>
      <c r="AF62" s="117"/>
      <c r="AG62" s="117"/>
      <c r="AH62" s="117"/>
      <c r="AI62" s="117"/>
    </row>
    <row r="63" spans="16:35" x14ac:dyDescent="0.25">
      <c r="P63" s="111"/>
      <c r="Q63" s="117"/>
      <c r="R63" s="117"/>
      <c r="S63" s="117"/>
      <c r="T63" s="111"/>
      <c r="U63" s="129"/>
      <c r="V63" s="128"/>
      <c r="W63" s="128"/>
      <c r="X63" s="128"/>
      <c r="Y63" s="128"/>
      <c r="Z63" s="128"/>
      <c r="AA63" s="128"/>
      <c r="AB63" s="128"/>
      <c r="AC63" s="129"/>
      <c r="AD63" s="129"/>
      <c r="AE63" s="117"/>
      <c r="AF63" s="117"/>
      <c r="AG63" s="117"/>
      <c r="AH63" s="117"/>
      <c r="AI63" s="117"/>
    </row>
    <row r="64" spans="16:35" x14ac:dyDescent="0.25">
      <c r="P64" s="111"/>
      <c r="Q64" s="117"/>
      <c r="R64" s="117"/>
      <c r="S64" s="117"/>
      <c r="T64" s="111"/>
      <c r="U64" s="129"/>
      <c r="V64" s="128"/>
      <c r="W64" s="128">
        <f>($X$33*$Z$33)/$K$8+W61</f>
        <v>2.6666666666666665</v>
      </c>
      <c r="X64" s="128">
        <f>X61</f>
        <v>0.46666666666666667</v>
      </c>
      <c r="Y64" s="128"/>
      <c r="Z64" s="128"/>
      <c r="AA64" s="128"/>
      <c r="AB64" s="128"/>
      <c r="AC64" s="129"/>
      <c r="AD64" s="129"/>
      <c r="AE64" s="117"/>
      <c r="AF64" s="117"/>
      <c r="AG64" s="117"/>
      <c r="AH64" s="117"/>
      <c r="AI64" s="117"/>
    </row>
    <row r="65" spans="16:35" x14ac:dyDescent="0.25">
      <c r="P65" s="111"/>
      <c r="Q65" s="117"/>
      <c r="R65" s="117"/>
      <c r="S65" s="117"/>
      <c r="T65" s="111"/>
      <c r="U65" s="129"/>
      <c r="V65" s="128"/>
      <c r="W65" s="128">
        <f>W64</f>
        <v>2.6666666666666665</v>
      </c>
      <c r="X65" s="128">
        <v>0</v>
      </c>
      <c r="Y65" s="128"/>
      <c r="Z65" s="128"/>
      <c r="AA65" s="128"/>
      <c r="AB65" s="128"/>
      <c r="AC65" s="129"/>
      <c r="AD65" s="129"/>
      <c r="AE65" s="117"/>
      <c r="AF65" s="117"/>
      <c r="AG65" s="117"/>
      <c r="AH65" s="117"/>
      <c r="AI65" s="117"/>
    </row>
    <row r="66" spans="16:35" x14ac:dyDescent="0.25">
      <c r="P66" s="111"/>
      <c r="Q66" s="117"/>
      <c r="R66" s="117"/>
      <c r="S66" s="117"/>
      <c r="T66" s="111"/>
      <c r="U66" s="129"/>
      <c r="V66" s="128"/>
      <c r="W66" s="128"/>
      <c r="X66" s="128"/>
      <c r="Y66" s="128"/>
      <c r="Z66" s="128"/>
      <c r="AA66" s="128"/>
      <c r="AB66" s="128"/>
      <c r="AC66" s="129"/>
      <c r="AD66" s="129"/>
      <c r="AE66" s="117"/>
      <c r="AF66" s="117"/>
      <c r="AG66" s="117"/>
      <c r="AH66" s="117"/>
      <c r="AI66" s="117"/>
    </row>
    <row r="67" spans="16:35" x14ac:dyDescent="0.25">
      <c r="P67" s="111"/>
      <c r="Q67" s="117"/>
      <c r="R67" s="117"/>
      <c r="S67" s="117"/>
      <c r="T67" s="111"/>
      <c r="U67" s="129"/>
      <c r="V67" s="128"/>
      <c r="W67" s="128">
        <f>($X$33*$Z$33)/$K$8+W64</f>
        <v>3</v>
      </c>
      <c r="X67" s="128">
        <f>X64</f>
        <v>0.46666666666666667</v>
      </c>
      <c r="Y67" s="128"/>
      <c r="Z67" s="128"/>
      <c r="AA67" s="128"/>
      <c r="AB67" s="128"/>
      <c r="AC67" s="129"/>
      <c r="AD67" s="129"/>
      <c r="AE67" s="117"/>
      <c r="AF67" s="117"/>
      <c r="AG67" s="117"/>
      <c r="AH67" s="117"/>
      <c r="AI67" s="117"/>
    </row>
    <row r="68" spans="16:35" x14ac:dyDescent="0.25">
      <c r="P68" s="111"/>
      <c r="Q68" s="117"/>
      <c r="R68" s="117"/>
      <c r="S68" s="117"/>
      <c r="T68" s="111"/>
      <c r="U68" s="128"/>
      <c r="V68" s="128"/>
      <c r="W68" s="128">
        <f>W67</f>
        <v>3</v>
      </c>
      <c r="X68" s="128">
        <v>0</v>
      </c>
      <c r="Y68" s="128"/>
      <c r="Z68" s="128"/>
      <c r="AA68" s="129"/>
      <c r="AB68" s="129"/>
      <c r="AC68" s="129"/>
      <c r="AD68" s="129"/>
      <c r="AE68" s="117"/>
      <c r="AF68" s="117"/>
      <c r="AG68" s="117"/>
      <c r="AH68" s="117"/>
      <c r="AI68" s="117"/>
    </row>
    <row r="69" spans="16:35" x14ac:dyDescent="0.25">
      <c r="P69" s="111"/>
      <c r="Q69" s="117"/>
      <c r="R69" s="117"/>
      <c r="S69" s="117"/>
      <c r="T69" s="111"/>
      <c r="U69" s="129"/>
      <c r="V69" s="129"/>
      <c r="W69" s="129"/>
      <c r="X69" s="129"/>
      <c r="Y69" s="129"/>
      <c r="Z69" s="129"/>
      <c r="AA69" s="129"/>
      <c r="AB69" s="129"/>
      <c r="AC69" s="129"/>
      <c r="AD69" s="129"/>
      <c r="AE69" s="117"/>
      <c r="AF69" s="117"/>
      <c r="AG69" s="117"/>
      <c r="AH69" s="117"/>
      <c r="AI69" s="117"/>
    </row>
    <row r="70" spans="16:35" x14ac:dyDescent="0.25">
      <c r="Q70" s="117"/>
      <c r="R70" s="117"/>
      <c r="S70" s="117"/>
      <c r="T70" s="111"/>
      <c r="U70" s="129"/>
      <c r="V70" s="129"/>
      <c r="W70" s="129"/>
      <c r="X70" s="129"/>
      <c r="Y70" s="129"/>
      <c r="Z70" s="129"/>
      <c r="AA70" s="129"/>
      <c r="AB70" s="129"/>
      <c r="AC70" s="129"/>
      <c r="AD70" s="129"/>
      <c r="AE70" s="117"/>
      <c r="AF70" s="117"/>
      <c r="AG70" s="117"/>
      <c r="AH70" s="117"/>
      <c r="AI70" s="117"/>
    </row>
    <row r="71" spans="16:35" x14ac:dyDescent="0.25">
      <c r="Q71" s="117"/>
      <c r="R71" s="117"/>
      <c r="S71" s="117"/>
      <c r="T71" s="111"/>
      <c r="U71" s="129"/>
      <c r="V71" s="129"/>
      <c r="W71" s="129"/>
      <c r="X71" s="129"/>
      <c r="Y71" s="129"/>
      <c r="Z71" s="129"/>
      <c r="AA71" s="129"/>
      <c r="AB71" s="129"/>
      <c r="AC71" s="129"/>
      <c r="AD71" s="129"/>
      <c r="AE71" s="117"/>
      <c r="AF71" s="117"/>
      <c r="AG71" s="117"/>
      <c r="AH71" s="117"/>
      <c r="AI71" s="117"/>
    </row>
    <row r="72" spans="16:35" x14ac:dyDescent="0.25">
      <c r="Q72" s="117"/>
      <c r="R72" s="117"/>
      <c r="S72" s="117"/>
      <c r="T72" s="117"/>
      <c r="U72" s="117"/>
      <c r="V72" s="117"/>
      <c r="W72" s="117"/>
      <c r="X72" s="117"/>
      <c r="Y72" s="117"/>
      <c r="Z72" s="117"/>
      <c r="AA72" s="117"/>
      <c r="AB72" s="117"/>
      <c r="AC72" s="117"/>
      <c r="AD72" s="117"/>
      <c r="AE72" s="117"/>
      <c r="AF72" s="117"/>
      <c r="AG72" s="117"/>
      <c r="AH72" s="117"/>
      <c r="AI72" s="117"/>
    </row>
    <row r="73" spans="16:35" x14ac:dyDescent="0.25">
      <c r="Q73" s="117"/>
      <c r="R73" s="117"/>
      <c r="S73" s="117"/>
      <c r="T73" s="117"/>
      <c r="U73" s="117"/>
      <c r="V73" s="117"/>
      <c r="W73" s="117"/>
      <c r="X73" s="117"/>
      <c r="Y73" s="117"/>
      <c r="Z73" s="117"/>
      <c r="AA73" s="117"/>
      <c r="AB73" s="117"/>
      <c r="AC73" s="117"/>
      <c r="AD73" s="117"/>
      <c r="AE73" s="117"/>
      <c r="AF73" s="117"/>
      <c r="AG73" s="117"/>
      <c r="AH73" s="117"/>
      <c r="AI73" s="117"/>
    </row>
    <row r="74" spans="16:35" x14ac:dyDescent="0.25">
      <c r="Q74" s="117"/>
      <c r="R74" s="117"/>
      <c r="S74" s="117"/>
      <c r="T74" s="117"/>
      <c r="U74" s="117"/>
      <c r="V74" s="117"/>
      <c r="W74" s="117"/>
      <c r="X74" s="117"/>
      <c r="Y74" s="117"/>
      <c r="Z74" s="117"/>
      <c r="AA74" s="117"/>
      <c r="AB74" s="117"/>
      <c r="AC74" s="117"/>
      <c r="AD74" s="117"/>
      <c r="AE74" s="117"/>
      <c r="AF74" s="117"/>
      <c r="AG74" s="117"/>
      <c r="AH74" s="117"/>
      <c r="AI74" s="117"/>
    </row>
    <row r="75" spans="16:35" x14ac:dyDescent="0.25">
      <c r="Q75" s="117"/>
      <c r="R75" s="117"/>
      <c r="S75" s="117"/>
      <c r="T75" s="117"/>
      <c r="U75" s="117"/>
      <c r="V75" s="117"/>
      <c r="W75" s="117"/>
      <c r="X75" s="117"/>
      <c r="Y75" s="117"/>
      <c r="Z75" s="117"/>
      <c r="AA75" s="117"/>
      <c r="AB75" s="117"/>
      <c r="AC75" s="117"/>
      <c r="AD75" s="117"/>
      <c r="AE75" s="117"/>
      <c r="AF75" s="117"/>
      <c r="AG75" s="117"/>
      <c r="AH75" s="117"/>
      <c r="AI75" s="117"/>
    </row>
    <row r="76" spans="16:35" x14ac:dyDescent="0.25">
      <c r="Q76" s="117"/>
      <c r="R76" s="117"/>
      <c r="S76" s="117"/>
      <c r="T76" s="117"/>
      <c r="U76" s="117"/>
      <c r="V76" s="117"/>
      <c r="W76" s="117"/>
      <c r="X76" s="117"/>
      <c r="Y76" s="117"/>
      <c r="Z76" s="117"/>
      <c r="AA76" s="117"/>
      <c r="AB76" s="117"/>
      <c r="AC76" s="117"/>
      <c r="AD76" s="117"/>
      <c r="AE76" s="117"/>
      <c r="AF76" s="117"/>
      <c r="AG76" s="117"/>
      <c r="AH76" s="117"/>
      <c r="AI76" s="117"/>
    </row>
  </sheetData>
  <sheetProtection algorithmName="SHA-512" hashValue="wSGFQmlVJjdDwyUDjxyT6EeqIOyh73eJbX/Mei8W5Q7HskDsIgffAh6VWgnrd4GN+w++Q8mzYdWrxwyU/uWngA==" saltValue="5L1gb53UMs/EZDFgLZYGYg==" spinCount="100000" sheet="1" selectLockedCells="1"/>
  <mergeCells count="35">
    <mergeCell ref="M15:O17"/>
    <mergeCell ref="C16:E16"/>
    <mergeCell ref="C15:E15"/>
    <mergeCell ref="C1:O1"/>
    <mergeCell ref="C2:P2"/>
    <mergeCell ref="M13:N14"/>
    <mergeCell ref="O13:O14"/>
    <mergeCell ref="L5:M5"/>
    <mergeCell ref="L7:M7"/>
    <mergeCell ref="C14:E14"/>
    <mergeCell ref="C13:F13"/>
    <mergeCell ref="I13:K13"/>
    <mergeCell ref="C4:P4"/>
    <mergeCell ref="C3:J3"/>
    <mergeCell ref="A5:A8"/>
    <mergeCell ref="C9:D10"/>
    <mergeCell ref="E9:F10"/>
    <mergeCell ref="L6:M6"/>
    <mergeCell ref="L8:M8"/>
    <mergeCell ref="L9:M9"/>
    <mergeCell ref="L10:M10"/>
    <mergeCell ref="I10:J10"/>
    <mergeCell ref="C5:F5"/>
    <mergeCell ref="I5:J5"/>
    <mergeCell ref="C31:D31"/>
    <mergeCell ref="I14:J14"/>
    <mergeCell ref="C6:D6"/>
    <mergeCell ref="E6:F6"/>
    <mergeCell ref="I6:J6"/>
    <mergeCell ref="I7:J7"/>
    <mergeCell ref="I15:J15"/>
    <mergeCell ref="I16:J16"/>
    <mergeCell ref="I8:J8"/>
    <mergeCell ref="I9:J9"/>
    <mergeCell ref="H17:J17"/>
  </mergeCells>
  <conditionalFormatting sqref="K15">
    <cfRule type="expression" dxfId="3" priority="4">
      <formula>$AB$46="Fail"</formula>
    </cfRule>
  </conditionalFormatting>
  <conditionalFormatting sqref="K16">
    <cfRule type="expression" dxfId="2" priority="3">
      <formula>$AB$47="Fail"</formula>
    </cfRule>
  </conditionalFormatting>
  <conditionalFormatting sqref="K17">
    <cfRule type="expression" dxfId="1" priority="2">
      <formula>$AB$48="Fail"</formula>
    </cfRule>
  </conditionalFormatting>
  <conditionalFormatting sqref="K14">
    <cfRule type="expression" dxfId="0" priority="1">
      <formula>$AB$45="Fail"</formula>
    </cfRule>
  </conditionalFormatting>
  <dataValidations count="2">
    <dataValidation type="list" allowBlank="1" showInputMessage="1" showErrorMessage="1" sqref="E29:E30 K7" xr:uid="{00000000-0002-0000-0000-000000000000}">
      <formula1>"Yes, No"</formula1>
    </dataValidation>
    <dataValidation type="list" allowBlank="1" showInputMessage="1" showErrorMessage="1" sqref="K6" xr:uid="{00000000-0002-0000-0000-000001000000}">
      <formula1>"2x8, 2x10"</formula1>
    </dataValidation>
  </dataValidations>
  <pageMargins left="0.7" right="0.7" top="0.75" bottom="0.75" header="0.3" footer="0.3"/>
  <pageSetup scale="7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'Design Loads'!$C$31:$K$31</xm:f>
          </x14:formula1>
          <xm:sqref>E18 K9</xm:sqref>
        </x14:dataValidation>
        <x14:dataValidation type="list" allowBlank="1" showInputMessage="1" showErrorMessage="1" xr:uid="{00000000-0002-0000-0000-000003000000}">
          <x14:formula1>
            <xm:f>'Design Loads'!$C$65:$K$65</xm:f>
          </x14:formula1>
          <xm:sqref>K10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T719"/>
  <sheetViews>
    <sheetView showGridLines="0" zoomScaleNormal="100" zoomScaleSheetLayoutView="100" workbookViewId="0">
      <selection activeCell="K17" sqref="K17"/>
    </sheetView>
  </sheetViews>
  <sheetFormatPr defaultColWidth="9.140625" defaultRowHeight="15.75" customHeight="1" x14ac:dyDescent="0.2"/>
  <cols>
    <col min="1" max="1" width="3.7109375" style="1" customWidth="1"/>
    <col min="2" max="2" width="9.85546875" style="1" customWidth="1"/>
    <col min="3" max="3" width="9.42578125" style="1" bestFit="1" customWidth="1"/>
    <col min="4" max="10" width="9.140625" style="1"/>
    <col min="11" max="11" width="10.42578125" style="1" bestFit="1" customWidth="1"/>
    <col min="12" max="12" width="3.7109375" style="1" customWidth="1"/>
    <col min="13" max="124" width="9.140625" style="37"/>
    <col min="125" max="16384" width="9.140625" style="1"/>
  </cols>
  <sheetData>
    <row r="1" spans="2:11" ht="15.75" customHeight="1" x14ac:dyDescent="0.25">
      <c r="D1" s="256" t="s">
        <v>48</v>
      </c>
      <c r="E1" s="256"/>
      <c r="F1" s="256"/>
      <c r="G1" s="256"/>
      <c r="H1" s="256"/>
      <c r="K1" s="9">
        <v>43174</v>
      </c>
    </row>
    <row r="4" spans="2:11" ht="15.75" customHeight="1" x14ac:dyDescent="0.25">
      <c r="D4" s="233" t="s">
        <v>49</v>
      </c>
      <c r="E4" s="233"/>
      <c r="F4" s="233"/>
      <c r="G4" s="233"/>
      <c r="H4" s="233"/>
      <c r="I4" s="233"/>
    </row>
    <row r="5" spans="2:11" ht="15.75" customHeight="1" x14ac:dyDescent="0.25">
      <c r="D5" s="233" t="s">
        <v>50</v>
      </c>
      <c r="E5" s="233"/>
      <c r="F5" s="233"/>
      <c r="G5" s="233"/>
      <c r="H5" s="233"/>
      <c r="I5" s="233"/>
    </row>
    <row r="6" spans="2:11" ht="15.75" customHeight="1" x14ac:dyDescent="0.2">
      <c r="B6" s="234" t="s">
        <v>51</v>
      </c>
      <c r="C6" s="234"/>
      <c r="D6" s="234"/>
    </row>
    <row r="7" spans="2:11" ht="15.75" customHeight="1" x14ac:dyDescent="0.2">
      <c r="B7" s="230" t="s">
        <v>52</v>
      </c>
      <c r="C7" s="230"/>
      <c r="D7" s="230"/>
      <c r="E7" s="121">
        <v>10</v>
      </c>
      <c r="F7" s="121" t="s">
        <v>53</v>
      </c>
      <c r="G7" s="121"/>
      <c r="H7" s="247" t="s">
        <v>54</v>
      </c>
      <c r="I7" s="121"/>
      <c r="J7" s="121"/>
      <c r="K7" s="121"/>
    </row>
    <row r="8" spans="2:11" ht="15.75" customHeight="1" x14ac:dyDescent="0.2">
      <c r="B8" s="230" t="s">
        <v>55</v>
      </c>
      <c r="C8" s="230"/>
      <c r="D8" s="230"/>
      <c r="E8" s="121" t="s">
        <v>56</v>
      </c>
      <c r="F8" s="121"/>
      <c r="G8" s="121"/>
      <c r="H8" s="247"/>
      <c r="I8" s="121"/>
      <c r="J8" s="121"/>
      <c r="K8" s="121"/>
    </row>
    <row r="9" spans="2:11" ht="15.75" customHeight="1" x14ac:dyDescent="0.25">
      <c r="B9" s="230" t="s">
        <v>57</v>
      </c>
      <c r="C9" s="230"/>
      <c r="D9" s="230"/>
      <c r="E9" s="10">
        <v>1</v>
      </c>
      <c r="F9" s="121"/>
      <c r="G9" s="121"/>
      <c r="H9" s="247"/>
      <c r="I9" s="121"/>
      <c r="J9" s="121"/>
      <c r="K9" s="121"/>
    </row>
    <row r="10" spans="2:11" ht="15.75" customHeight="1" x14ac:dyDescent="0.25">
      <c r="B10" s="230" t="s">
        <v>58</v>
      </c>
      <c r="C10" s="230"/>
      <c r="D10" s="230"/>
      <c r="E10" s="121">
        <v>0.85</v>
      </c>
      <c r="F10" s="121"/>
      <c r="G10" s="121"/>
      <c r="H10" s="247"/>
      <c r="I10" s="121"/>
      <c r="J10" s="121"/>
      <c r="K10" s="121"/>
    </row>
    <row r="11" spans="2:11" ht="15.75" customHeight="1" x14ac:dyDescent="0.2">
      <c r="B11" s="230" t="s">
        <v>59</v>
      </c>
      <c r="C11" s="230"/>
      <c r="D11" s="230"/>
      <c r="E11" s="121">
        <v>0.85</v>
      </c>
      <c r="F11" s="121"/>
      <c r="G11" s="121"/>
      <c r="H11" s="247"/>
      <c r="I11" s="121"/>
      <c r="J11" s="121"/>
      <c r="K11" s="121"/>
    </row>
    <row r="12" spans="2:11" ht="15.75" customHeight="1" x14ac:dyDescent="0.25">
      <c r="B12" s="230" t="s">
        <v>60</v>
      </c>
      <c r="C12" s="230"/>
      <c r="D12" s="230"/>
      <c r="E12" s="121">
        <v>0.7</v>
      </c>
      <c r="F12" s="121"/>
      <c r="G12" s="121"/>
      <c r="H12" s="247"/>
      <c r="I12" s="121"/>
      <c r="J12" s="121"/>
      <c r="K12" s="121"/>
    </row>
    <row r="13" spans="2:11" ht="15.75" customHeight="1" x14ac:dyDescent="0.2">
      <c r="B13" s="230" t="s">
        <v>61</v>
      </c>
      <c r="C13" s="230"/>
      <c r="D13" s="230"/>
      <c r="E13" s="121">
        <v>0</v>
      </c>
      <c r="F13" s="121" t="s">
        <v>62</v>
      </c>
      <c r="G13" s="121"/>
      <c r="H13" s="247"/>
      <c r="I13" s="121"/>
      <c r="J13" s="121"/>
      <c r="K13" s="121"/>
    </row>
    <row r="14" spans="2:11" ht="15.75" customHeight="1" x14ac:dyDescent="0.2">
      <c r="B14" s="230" t="s">
        <v>63</v>
      </c>
      <c r="C14" s="230"/>
      <c r="D14" s="230"/>
      <c r="E14" s="121">
        <v>0.6</v>
      </c>
      <c r="F14" s="121"/>
      <c r="G14" s="121"/>
      <c r="H14" s="247"/>
      <c r="I14" s="121"/>
      <c r="J14" s="121"/>
      <c r="K14" s="121"/>
    </row>
    <row r="15" spans="2:11" ht="15.75" customHeight="1" x14ac:dyDescent="0.2">
      <c r="B15" s="230" t="s">
        <v>64</v>
      </c>
      <c r="C15" s="230"/>
      <c r="D15" s="230"/>
      <c r="E15" s="121">
        <v>0</v>
      </c>
      <c r="F15" s="121"/>
      <c r="G15" s="121"/>
      <c r="H15" s="247"/>
      <c r="I15" s="121"/>
      <c r="J15" s="121"/>
      <c r="K15" s="121"/>
    </row>
    <row r="16" spans="2:11" ht="15.75" customHeight="1" x14ac:dyDescent="0.2">
      <c r="B16" s="248" t="s">
        <v>65</v>
      </c>
      <c r="C16" s="248"/>
      <c r="D16" s="248"/>
      <c r="G16" s="121"/>
      <c r="H16" s="121"/>
      <c r="I16" s="121"/>
      <c r="J16" s="121"/>
      <c r="K16" s="121"/>
    </row>
    <row r="17" spans="2:21" ht="15.75" customHeight="1" x14ac:dyDescent="0.25">
      <c r="B17" s="251" t="s">
        <v>66</v>
      </c>
      <c r="C17" s="252"/>
      <c r="D17" s="252"/>
      <c r="E17" s="55" t="s">
        <v>67</v>
      </c>
      <c r="F17" s="55">
        <v>-1.1000000000000001</v>
      </c>
      <c r="G17" s="237" t="s">
        <v>68</v>
      </c>
      <c r="H17" s="237"/>
      <c r="I17" s="238"/>
      <c r="J17" s="121"/>
      <c r="K17" s="121"/>
    </row>
    <row r="18" spans="2:21" ht="15.75" customHeight="1" x14ac:dyDescent="0.25">
      <c r="B18" s="243"/>
      <c r="C18" s="244"/>
      <c r="D18" s="244"/>
      <c r="E18" s="56" t="s">
        <v>69</v>
      </c>
      <c r="F18" s="56">
        <v>1.2</v>
      </c>
      <c r="G18" s="239"/>
      <c r="H18" s="239"/>
      <c r="I18" s="240"/>
      <c r="J18" s="121"/>
      <c r="K18" s="121"/>
    </row>
    <row r="19" spans="2:21" ht="15.75" customHeight="1" x14ac:dyDescent="0.25">
      <c r="B19" s="243"/>
      <c r="C19" s="244"/>
      <c r="D19" s="244"/>
      <c r="E19" s="56" t="s">
        <v>70</v>
      </c>
      <c r="F19" s="56">
        <v>-0.1</v>
      </c>
      <c r="G19" s="239"/>
      <c r="H19" s="239"/>
      <c r="I19" s="240"/>
      <c r="J19" s="121"/>
      <c r="K19" s="121"/>
    </row>
    <row r="20" spans="2:21" ht="15.75" customHeight="1" x14ac:dyDescent="0.25">
      <c r="B20" s="245"/>
      <c r="C20" s="246"/>
      <c r="D20" s="246"/>
      <c r="E20" s="57" t="s">
        <v>71</v>
      </c>
      <c r="F20" s="57">
        <v>0.3</v>
      </c>
      <c r="G20" s="241"/>
      <c r="H20" s="241"/>
      <c r="I20" s="242"/>
      <c r="J20" s="121"/>
      <c r="K20" s="121"/>
    </row>
    <row r="21" spans="2:21" ht="15.75" customHeight="1" thickBot="1" x14ac:dyDescent="0.25">
      <c r="B21" s="249" t="s">
        <v>72</v>
      </c>
      <c r="C21" s="250"/>
      <c r="D21" s="250"/>
      <c r="E21" s="58" t="s">
        <v>73</v>
      </c>
      <c r="F21" s="61">
        <v>1</v>
      </c>
      <c r="G21" s="59"/>
      <c r="H21" s="59"/>
      <c r="I21" s="60"/>
      <c r="J21" s="121"/>
      <c r="K21" s="121"/>
    </row>
    <row r="22" spans="2:21" ht="15.75" customHeight="1" x14ac:dyDescent="0.25">
      <c r="B22" s="243" t="s">
        <v>74</v>
      </c>
      <c r="C22" s="244"/>
      <c r="D22" s="244"/>
      <c r="E22" s="56" t="s">
        <v>75</v>
      </c>
      <c r="F22" s="56">
        <v>-1.1000000000000001</v>
      </c>
      <c r="G22" s="239" t="s">
        <v>76</v>
      </c>
      <c r="H22" s="239"/>
      <c r="I22" s="240"/>
      <c r="J22" s="121"/>
      <c r="K22" s="121"/>
      <c r="U22" s="90" t="s">
        <v>77</v>
      </c>
    </row>
    <row r="23" spans="2:21" ht="15.75" customHeight="1" thickBot="1" x14ac:dyDescent="0.3">
      <c r="B23" s="243"/>
      <c r="C23" s="244"/>
      <c r="D23" s="244"/>
      <c r="E23" s="56" t="s">
        <v>78</v>
      </c>
      <c r="F23" s="56">
        <v>1.2</v>
      </c>
      <c r="G23" s="239"/>
      <c r="H23" s="239"/>
      <c r="I23" s="240"/>
      <c r="J23" s="121"/>
      <c r="K23" s="121"/>
      <c r="Q23" t="s">
        <v>36</v>
      </c>
      <c r="U23" s="91">
        <f>('Span Table '!C8*12+'Span Table '!D8)*('Span Table '!E8*12+'Span Table '!F8)/144</f>
        <v>427.36111111111109</v>
      </c>
    </row>
    <row r="24" spans="2:21" ht="15.75" customHeight="1" x14ac:dyDescent="0.25">
      <c r="B24" s="243"/>
      <c r="C24" s="244"/>
      <c r="D24" s="244"/>
      <c r="E24" s="56" t="s">
        <v>79</v>
      </c>
      <c r="F24" s="56">
        <v>-1.1000000000000001</v>
      </c>
      <c r="G24" s="239"/>
      <c r="H24" s="239"/>
      <c r="I24" s="240"/>
      <c r="J24" s="121"/>
      <c r="K24" s="121"/>
      <c r="Q24" t="s">
        <v>37</v>
      </c>
    </row>
    <row r="25" spans="2:21" ht="15.75" customHeight="1" x14ac:dyDescent="0.25">
      <c r="B25" s="243"/>
      <c r="C25" s="244"/>
      <c r="D25" s="244"/>
      <c r="E25" s="56" t="s">
        <v>80</v>
      </c>
      <c r="F25" s="56">
        <v>1.2</v>
      </c>
      <c r="G25" s="239"/>
      <c r="H25" s="239"/>
      <c r="I25" s="240"/>
      <c r="J25" s="121"/>
      <c r="K25" s="121"/>
    </row>
    <row r="26" spans="2:21" ht="15.75" customHeight="1" x14ac:dyDescent="0.25">
      <c r="B26" s="243"/>
      <c r="C26" s="244"/>
      <c r="D26" s="244"/>
      <c r="E26" s="56" t="s">
        <v>81</v>
      </c>
      <c r="F26" s="56">
        <v>-1.1000000000000001</v>
      </c>
      <c r="G26" s="239"/>
      <c r="H26" s="239"/>
      <c r="I26" s="240"/>
      <c r="J26" s="121"/>
      <c r="K26" s="121"/>
    </row>
    <row r="27" spans="2:21" ht="15.75" customHeight="1" x14ac:dyDescent="0.25">
      <c r="B27" s="245"/>
      <c r="C27" s="246"/>
      <c r="D27" s="246"/>
      <c r="E27" s="57" t="s">
        <v>82</v>
      </c>
      <c r="F27" s="57">
        <v>1.2</v>
      </c>
      <c r="G27" s="241"/>
      <c r="H27" s="241"/>
      <c r="I27" s="242"/>
      <c r="J27" s="121"/>
      <c r="K27" s="121"/>
      <c r="N27" s="253" t="s">
        <v>83</v>
      </c>
      <c r="O27" s="253"/>
    </row>
    <row r="28" spans="2:21" ht="15.75" customHeight="1" x14ac:dyDescent="0.2">
      <c r="B28" s="121"/>
      <c r="C28" s="121"/>
      <c r="D28" s="121"/>
      <c r="E28" s="121"/>
      <c r="F28" s="121"/>
      <c r="G28" s="121"/>
      <c r="H28" s="121"/>
      <c r="I28" s="121"/>
      <c r="J28" s="121"/>
      <c r="K28" s="121"/>
      <c r="N28" s="37" t="s">
        <v>84</v>
      </c>
      <c r="O28" s="37" t="b">
        <f>IF('Span Table '!K6="2x8",)</f>
        <v>0</v>
      </c>
      <c r="Q28" s="254" t="s">
        <v>85</v>
      </c>
      <c r="R28" s="254"/>
      <c r="S28" s="37">
        <f>IF('Span Table '!K6="2x8",S34*S31/U23,IF('Span Table '!K6="2x10",S35*S31/U23))</f>
        <v>0.9855833604159896</v>
      </c>
    </row>
    <row r="29" spans="2:21" ht="15.75" customHeight="1" thickBot="1" x14ac:dyDescent="0.25">
      <c r="B29" s="229" t="s">
        <v>86</v>
      </c>
      <c r="C29" s="229"/>
      <c r="D29" s="229"/>
      <c r="E29" s="229"/>
      <c r="F29" s="229"/>
      <c r="G29" s="229"/>
      <c r="H29" s="229"/>
      <c r="I29" s="229"/>
      <c r="J29" s="229"/>
      <c r="K29" s="229"/>
      <c r="Q29" s="254" t="s">
        <v>87</v>
      </c>
      <c r="R29" s="254"/>
      <c r="S29" s="37">
        <v>2.5</v>
      </c>
      <c r="T29" s="37">
        <f>S28+S29</f>
        <v>3.4855833604159896</v>
      </c>
    </row>
    <row r="30" spans="2:21" ht="15.75" customHeight="1" x14ac:dyDescent="0.2">
      <c r="B30" s="231" t="s">
        <v>88</v>
      </c>
      <c r="C30" s="235" t="s">
        <v>89</v>
      </c>
      <c r="D30" s="227"/>
      <c r="E30" s="227"/>
      <c r="F30" s="227"/>
      <c r="G30" s="227"/>
      <c r="H30" s="227"/>
      <c r="I30" s="227"/>
      <c r="J30" s="227"/>
      <c r="K30" s="228"/>
    </row>
    <row r="31" spans="2:21" ht="15.75" customHeight="1" thickBot="1" x14ac:dyDescent="0.25">
      <c r="B31" s="232"/>
      <c r="C31" s="54">
        <v>110</v>
      </c>
      <c r="D31" s="22">
        <v>115</v>
      </c>
      <c r="E31" s="22">
        <v>120</v>
      </c>
      <c r="F31" s="22">
        <v>130</v>
      </c>
      <c r="G31" s="22">
        <v>140</v>
      </c>
      <c r="H31" s="22">
        <v>150</v>
      </c>
      <c r="I31" s="22">
        <v>160</v>
      </c>
      <c r="J31" s="22">
        <v>170</v>
      </c>
      <c r="K31" s="23">
        <v>180</v>
      </c>
      <c r="Q31" s="255" t="s">
        <v>90</v>
      </c>
      <c r="R31" s="255"/>
      <c r="S31" s="37">
        <f>SUM('Span Table '!F14:F15)</f>
        <v>117</v>
      </c>
    </row>
    <row r="32" spans="2:21" ht="15.75" customHeight="1" x14ac:dyDescent="0.2">
      <c r="B32" s="24" t="s">
        <v>91</v>
      </c>
      <c r="C32" s="14">
        <f>0.00256*$E$9*$E$10*$E$12*C$31^2*$E$11*$E$14*$F$26</f>
        <v>-10.339633920000001</v>
      </c>
      <c r="D32" s="15">
        <f t="shared" ref="D32:K32" si="0">0.00256*$E$9*$E$10*$E$12*D$31^2*$E$11*$E$14*$F$26</f>
        <v>-11.300963520000002</v>
      </c>
      <c r="E32" s="15">
        <f t="shared" si="0"/>
        <v>-12.305018879999999</v>
      </c>
      <c r="F32" s="15">
        <f t="shared" si="0"/>
        <v>-14.441306879999999</v>
      </c>
      <c r="G32" s="15">
        <f t="shared" si="0"/>
        <v>-16.748497919999998</v>
      </c>
      <c r="H32" s="15">
        <f t="shared" si="0"/>
        <v>-19.226591999999997</v>
      </c>
      <c r="I32" s="15">
        <f t="shared" si="0"/>
        <v>-21.875589119999997</v>
      </c>
      <c r="J32" s="15">
        <f t="shared" si="0"/>
        <v>-24.69548928</v>
      </c>
      <c r="K32" s="16">
        <f t="shared" si="0"/>
        <v>-27.686292479999999</v>
      </c>
    </row>
    <row r="33" spans="2:19" ht="15.75" customHeight="1" x14ac:dyDescent="0.2">
      <c r="B33" s="25" t="s">
        <v>92</v>
      </c>
      <c r="C33" s="17">
        <f>0.00256*$E$9*$E$10*$E$12*C$31^2*$E$11*$E$14*$F$27</f>
        <v>11.27960064</v>
      </c>
      <c r="D33" s="13">
        <f t="shared" ref="D33:K33" si="1">0.00256*$E$9*$E$10*$E$12*D$31^2*$E$11*$E$14*$F$27</f>
        <v>12.328323839999999</v>
      </c>
      <c r="E33" s="13">
        <f t="shared" si="1"/>
        <v>13.423656959999997</v>
      </c>
      <c r="F33" s="13">
        <f t="shared" si="1"/>
        <v>15.754152959999995</v>
      </c>
      <c r="G33" s="13">
        <f t="shared" si="1"/>
        <v>18.271088639999999</v>
      </c>
      <c r="H33" s="13">
        <f t="shared" si="1"/>
        <v>20.974463999999994</v>
      </c>
      <c r="I33" s="13">
        <f t="shared" si="1"/>
        <v>23.864279039999992</v>
      </c>
      <c r="J33" s="13">
        <f t="shared" si="1"/>
        <v>26.940533759999997</v>
      </c>
      <c r="K33" s="18">
        <f t="shared" si="1"/>
        <v>30.203228159999995</v>
      </c>
    </row>
    <row r="34" spans="2:19" ht="15.75" customHeight="1" x14ac:dyDescent="0.2">
      <c r="B34" s="25" t="s">
        <v>93</v>
      </c>
      <c r="C34" s="17">
        <f>0.00256*$E$9*$E$10*$E$12*C$31^2*$E$11*$E$14*$F$24</f>
        <v>-10.339633920000001</v>
      </c>
      <c r="D34" s="13">
        <f t="shared" ref="D34:K34" si="2">0.00256*$E$9*$E$10*$E$12*D$31^2*$E$11*$E$14*$F$24</f>
        <v>-11.300963520000002</v>
      </c>
      <c r="E34" s="13">
        <f t="shared" si="2"/>
        <v>-12.305018879999999</v>
      </c>
      <c r="F34" s="13">
        <f t="shared" si="2"/>
        <v>-14.441306879999999</v>
      </c>
      <c r="G34" s="13">
        <f t="shared" si="2"/>
        <v>-16.748497919999998</v>
      </c>
      <c r="H34" s="13">
        <f t="shared" si="2"/>
        <v>-19.226591999999997</v>
      </c>
      <c r="I34" s="13">
        <f t="shared" si="2"/>
        <v>-21.875589119999997</v>
      </c>
      <c r="J34" s="13">
        <f t="shared" si="2"/>
        <v>-24.69548928</v>
      </c>
      <c r="K34" s="18">
        <f t="shared" si="2"/>
        <v>-27.686292479999999</v>
      </c>
      <c r="R34" s="87" t="s">
        <v>94</v>
      </c>
      <c r="S34" s="88">
        <v>3</v>
      </c>
    </row>
    <row r="35" spans="2:19" ht="15.75" customHeight="1" x14ac:dyDescent="0.2">
      <c r="B35" s="25" t="s">
        <v>95</v>
      </c>
      <c r="C35" s="17">
        <f>0.00256*$E$9*$E$10*$E$12*C$31^2*$E$11*$E$14*$F$25</f>
        <v>11.27960064</v>
      </c>
      <c r="D35" s="13">
        <f t="shared" ref="D35:K35" si="3">0.00256*$E$9*$E$10*$E$12*D$31^2*$E$11*$E$14*$F$25</f>
        <v>12.328323839999999</v>
      </c>
      <c r="E35" s="13">
        <f t="shared" si="3"/>
        <v>13.423656959999997</v>
      </c>
      <c r="F35" s="13">
        <f t="shared" si="3"/>
        <v>15.754152959999995</v>
      </c>
      <c r="G35" s="13">
        <f t="shared" si="3"/>
        <v>18.271088639999999</v>
      </c>
      <c r="H35" s="13">
        <f t="shared" si="3"/>
        <v>20.974463999999994</v>
      </c>
      <c r="I35" s="13">
        <f t="shared" si="3"/>
        <v>23.864279039999992</v>
      </c>
      <c r="J35" s="13">
        <f t="shared" si="3"/>
        <v>26.940533759999997</v>
      </c>
      <c r="K35" s="18">
        <f t="shared" si="3"/>
        <v>30.203228159999995</v>
      </c>
      <c r="R35" s="87" t="s">
        <v>96</v>
      </c>
      <c r="S35" s="88">
        <v>3.6</v>
      </c>
    </row>
    <row r="36" spans="2:19" ht="15.75" customHeight="1" x14ac:dyDescent="0.2">
      <c r="B36" s="25" t="s">
        <v>97</v>
      </c>
      <c r="C36" s="17">
        <f>0.00256*$E$9*$E$10*$E$12*C$31^2*$E$11*$E$14*$F$22</f>
        <v>-10.339633920000001</v>
      </c>
      <c r="D36" s="13">
        <f t="shared" ref="D36:K36" si="4">0.00256*$E$9*$E$10*$E$12*D$31^2*$E$11*$E$14*$F$22</f>
        <v>-11.300963520000002</v>
      </c>
      <c r="E36" s="13">
        <f t="shared" si="4"/>
        <v>-12.305018879999999</v>
      </c>
      <c r="F36" s="13">
        <f t="shared" si="4"/>
        <v>-14.441306879999999</v>
      </c>
      <c r="G36" s="13">
        <f t="shared" si="4"/>
        <v>-16.748497919999998</v>
      </c>
      <c r="H36" s="13">
        <f t="shared" si="4"/>
        <v>-19.226591999999997</v>
      </c>
      <c r="I36" s="13">
        <f t="shared" si="4"/>
        <v>-21.875589119999997</v>
      </c>
      <c r="J36" s="13">
        <f t="shared" si="4"/>
        <v>-24.69548928</v>
      </c>
      <c r="K36" s="18">
        <f t="shared" si="4"/>
        <v>-27.686292479999999</v>
      </c>
    </row>
    <row r="37" spans="2:19" ht="15.75" customHeight="1" x14ac:dyDescent="0.2">
      <c r="B37" s="25" t="s">
        <v>98</v>
      </c>
      <c r="C37" s="17">
        <f>0.00256*$E$9*$E$10*$E$12*C$31^2*$E$11*$E$14*$F$23</f>
        <v>11.27960064</v>
      </c>
      <c r="D37" s="13">
        <f t="shared" ref="D37:K37" si="5">0.00256*$E$9*$E$10*$E$12*D$31^2*$E$11*$E$14*$F$23</f>
        <v>12.328323839999999</v>
      </c>
      <c r="E37" s="13">
        <f t="shared" si="5"/>
        <v>13.423656959999997</v>
      </c>
      <c r="F37" s="13">
        <f t="shared" si="5"/>
        <v>15.754152959999995</v>
      </c>
      <c r="G37" s="13">
        <f t="shared" si="5"/>
        <v>18.271088639999999</v>
      </c>
      <c r="H37" s="13">
        <f t="shared" si="5"/>
        <v>20.974463999999994</v>
      </c>
      <c r="I37" s="13">
        <f t="shared" si="5"/>
        <v>23.864279039999992</v>
      </c>
      <c r="J37" s="13">
        <f t="shared" si="5"/>
        <v>26.940533759999997</v>
      </c>
      <c r="K37" s="18">
        <f t="shared" si="5"/>
        <v>30.203228159999995</v>
      </c>
    </row>
    <row r="38" spans="2:19" ht="15.75" customHeight="1" x14ac:dyDescent="0.2">
      <c r="B38" s="25" t="s">
        <v>99</v>
      </c>
      <c r="C38" s="17">
        <f>0.00256*$E$9*$E$10*$E$12*C$31^2*$E$11*$E$14*MIN($F$17,$F$19)</f>
        <v>-10.339633920000001</v>
      </c>
      <c r="D38" s="13">
        <f t="shared" ref="D38:K38" si="6">0.00256*$E$9*$E$10*$E$12*D$31^2*$E$11*$E$14*MIN($F$17,$F$19)</f>
        <v>-11.300963520000002</v>
      </c>
      <c r="E38" s="13">
        <f t="shared" si="6"/>
        <v>-12.305018879999999</v>
      </c>
      <c r="F38" s="13">
        <f t="shared" si="6"/>
        <v>-14.441306879999999</v>
      </c>
      <c r="G38" s="13">
        <f t="shared" si="6"/>
        <v>-16.748497919999998</v>
      </c>
      <c r="H38" s="13">
        <f t="shared" si="6"/>
        <v>-19.226591999999997</v>
      </c>
      <c r="I38" s="13">
        <f t="shared" si="6"/>
        <v>-21.875589119999997</v>
      </c>
      <c r="J38" s="13">
        <f t="shared" si="6"/>
        <v>-24.69548928</v>
      </c>
      <c r="K38" s="18">
        <f t="shared" si="6"/>
        <v>-27.686292479999999</v>
      </c>
      <c r="N38" s="72">
        <f>K39+3.5</f>
        <v>33.703228159999995</v>
      </c>
    </row>
    <row r="39" spans="2:19" ht="15.75" customHeight="1" x14ac:dyDescent="0.2">
      <c r="B39" s="25" t="s">
        <v>100</v>
      </c>
      <c r="C39" s="17">
        <f>0.00256*$E$9*$E$10*$E$12*C$31^2*$E$11*$E$14*MAX($F$18,$F$20)</f>
        <v>11.27960064</v>
      </c>
      <c r="D39" s="13">
        <f t="shared" ref="D39:K39" si="7">0.00256*$E$9*$E$10*$E$12*D$31^2*$E$11*$E$14*MAX($F$18,$F$20)</f>
        <v>12.328323839999999</v>
      </c>
      <c r="E39" s="13">
        <f t="shared" si="7"/>
        <v>13.423656959999997</v>
      </c>
      <c r="F39" s="13">
        <f t="shared" si="7"/>
        <v>15.754152959999995</v>
      </c>
      <c r="G39" s="13">
        <f t="shared" si="7"/>
        <v>18.271088639999999</v>
      </c>
      <c r="H39" s="13">
        <f t="shared" si="7"/>
        <v>20.974463999999994</v>
      </c>
      <c r="I39" s="13">
        <f t="shared" si="7"/>
        <v>23.864279039999992</v>
      </c>
      <c r="J39" s="13">
        <f t="shared" si="7"/>
        <v>26.940533759999997</v>
      </c>
      <c r="K39" s="18">
        <f t="shared" si="7"/>
        <v>30.203228159999995</v>
      </c>
    </row>
    <row r="40" spans="2:19" ht="15.75" customHeight="1" thickBot="1" x14ac:dyDescent="0.25">
      <c r="B40" s="26" t="s">
        <v>101</v>
      </c>
      <c r="C40" s="19">
        <f>0.00256*$E$9*$E$10*$E$12*C$31^2*$E$14*$F$21</f>
        <v>11.058432</v>
      </c>
      <c r="D40" s="20">
        <f t="shared" ref="D40:K40" si="8">0.00256*$E$9*$E$10*$E$12*D$31^2*$E$14*$F$21</f>
        <v>12.086592</v>
      </c>
      <c r="E40" s="20">
        <f t="shared" si="8"/>
        <v>13.160447999999999</v>
      </c>
      <c r="F40" s="20">
        <f t="shared" si="8"/>
        <v>15.445247999999998</v>
      </c>
      <c r="G40" s="20">
        <f t="shared" si="8"/>
        <v>17.912831999999998</v>
      </c>
      <c r="H40" s="20">
        <f t="shared" si="8"/>
        <v>20.563199999999998</v>
      </c>
      <c r="I40" s="20">
        <f t="shared" si="8"/>
        <v>23.396351999999997</v>
      </c>
      <c r="J40" s="20">
        <f t="shared" si="8"/>
        <v>26.412288</v>
      </c>
      <c r="K40" s="21">
        <f t="shared" si="8"/>
        <v>29.611007999999995</v>
      </c>
      <c r="N40" s="37" t="s">
        <v>102</v>
      </c>
    </row>
    <row r="41" spans="2:19" ht="15.75" customHeight="1" x14ac:dyDescent="0.2">
      <c r="B41" s="121"/>
      <c r="C41" s="121"/>
      <c r="D41" s="121"/>
      <c r="E41" s="121"/>
      <c r="F41" s="121"/>
      <c r="G41" s="121"/>
      <c r="H41" s="121"/>
      <c r="I41" s="121"/>
      <c r="J41" s="121"/>
      <c r="K41" s="121"/>
      <c r="N41" s="72"/>
    </row>
    <row r="42" spans="2:19" ht="15.75" customHeight="1" x14ac:dyDescent="0.2">
      <c r="B42" s="121" t="s">
        <v>103</v>
      </c>
      <c r="C42" s="236" t="s">
        <v>104</v>
      </c>
      <c r="D42" s="236"/>
      <c r="E42" s="236"/>
      <c r="F42" s="236"/>
      <c r="G42" s="236"/>
      <c r="H42" s="236"/>
      <c r="I42" s="236"/>
      <c r="J42" s="236"/>
      <c r="K42" s="236"/>
      <c r="N42" s="37" t="s">
        <v>105</v>
      </c>
    </row>
    <row r="43" spans="2:19" ht="15.75" customHeight="1" x14ac:dyDescent="0.2">
      <c r="B43" s="121"/>
      <c r="C43" s="236"/>
      <c r="D43" s="236"/>
      <c r="E43" s="236"/>
      <c r="F43" s="236"/>
      <c r="G43" s="236"/>
      <c r="H43" s="236"/>
      <c r="I43" s="236"/>
      <c r="J43" s="236"/>
      <c r="K43" s="236"/>
      <c r="N43" s="37" t="s">
        <v>19</v>
      </c>
    </row>
    <row r="44" spans="2:19" ht="15.75" customHeight="1" x14ac:dyDescent="0.2">
      <c r="B44" s="121"/>
      <c r="C44" s="236"/>
      <c r="D44" s="236"/>
      <c r="E44" s="236"/>
      <c r="F44" s="236"/>
      <c r="G44" s="236"/>
      <c r="H44" s="236"/>
      <c r="I44" s="236"/>
      <c r="J44" s="236"/>
      <c r="K44" s="236"/>
      <c r="N44" s="37" t="s">
        <v>17</v>
      </c>
    </row>
    <row r="45" spans="2:19" ht="15.75" customHeight="1" x14ac:dyDescent="0.2">
      <c r="B45" s="121"/>
      <c r="C45" s="236"/>
      <c r="D45" s="236"/>
      <c r="E45" s="236"/>
      <c r="F45" s="236"/>
      <c r="G45" s="236"/>
      <c r="H45" s="236"/>
      <c r="I45" s="236"/>
      <c r="J45" s="236"/>
      <c r="K45" s="236"/>
    </row>
    <row r="46" spans="2:19" ht="15.75" customHeight="1" x14ac:dyDescent="0.2">
      <c r="B46" s="121"/>
      <c r="C46" s="236"/>
      <c r="D46" s="236"/>
      <c r="E46" s="236"/>
      <c r="F46" s="236"/>
      <c r="G46" s="236"/>
      <c r="H46" s="236"/>
      <c r="I46" s="236"/>
      <c r="J46" s="236"/>
      <c r="K46" s="236"/>
    </row>
    <row r="47" spans="2:19" ht="15.75" customHeight="1" x14ac:dyDescent="0.2">
      <c r="N47" s="37" t="s">
        <v>106</v>
      </c>
    </row>
    <row r="48" spans="2:19" ht="15.75" customHeight="1" x14ac:dyDescent="0.2">
      <c r="N48" s="37" t="s">
        <v>107</v>
      </c>
      <c r="S48" s="37" t="s">
        <v>108</v>
      </c>
    </row>
    <row r="49" spans="1:20" ht="15.75" customHeight="1" x14ac:dyDescent="0.25">
      <c r="D49" s="233" t="s">
        <v>109</v>
      </c>
      <c r="E49" s="233"/>
      <c r="F49" s="233"/>
      <c r="G49" s="233"/>
      <c r="H49" s="233"/>
      <c r="I49" s="233"/>
      <c r="N49" s="37" t="s">
        <v>110</v>
      </c>
    </row>
    <row r="50" spans="1:20" ht="15.75" customHeight="1" x14ac:dyDescent="0.25">
      <c r="D50" s="233" t="s">
        <v>50</v>
      </c>
      <c r="E50" s="233"/>
      <c r="F50" s="233"/>
      <c r="G50" s="233"/>
      <c r="H50" s="233"/>
      <c r="I50" s="233"/>
    </row>
    <row r="51" spans="1:20" ht="15.75" customHeight="1" x14ac:dyDescent="0.2">
      <c r="B51" s="234" t="s">
        <v>51</v>
      </c>
      <c r="C51" s="234"/>
      <c r="D51" s="234"/>
      <c r="E51" s="121"/>
      <c r="F51" s="121"/>
      <c r="G51" s="121"/>
      <c r="H51" s="121"/>
      <c r="I51" s="121"/>
      <c r="J51" s="121"/>
      <c r="K51" s="121"/>
      <c r="L51" s="121"/>
      <c r="N51" s="76" t="s">
        <v>111</v>
      </c>
      <c r="O51" s="76"/>
      <c r="P51" s="76"/>
      <c r="Q51" s="76"/>
      <c r="R51" s="76"/>
      <c r="S51" s="76"/>
    </row>
    <row r="52" spans="1:20" ht="15.75" customHeight="1" x14ac:dyDescent="0.25">
      <c r="B52" s="230" t="s">
        <v>112</v>
      </c>
      <c r="C52" s="230"/>
      <c r="D52" s="230"/>
      <c r="E52" s="121">
        <v>1.2</v>
      </c>
      <c r="F52" s="121"/>
      <c r="G52" s="121">
        <v>0</v>
      </c>
      <c r="H52" s="121" t="s">
        <v>113</v>
      </c>
      <c r="I52" s="121"/>
      <c r="J52" s="121"/>
      <c r="K52" s="121"/>
      <c r="L52" s="121"/>
      <c r="N52" s="76" t="s">
        <v>114</v>
      </c>
      <c r="O52" s="76"/>
      <c r="P52" s="92">
        <f>SUM(S28:S29)</f>
        <v>3.4855833604159896</v>
      </c>
      <c r="Q52" s="76" t="s">
        <v>115</v>
      </c>
      <c r="R52" s="76" t="s">
        <v>84</v>
      </c>
      <c r="S52" s="76"/>
    </row>
    <row r="53" spans="1:20" ht="15.75" customHeight="1" x14ac:dyDescent="0.25">
      <c r="B53" s="230" t="s">
        <v>116</v>
      </c>
      <c r="C53" s="230"/>
      <c r="D53" s="230"/>
      <c r="E53" s="121">
        <v>0.9</v>
      </c>
      <c r="F53" s="121"/>
      <c r="G53" s="121"/>
      <c r="H53" s="121"/>
      <c r="I53" s="121"/>
      <c r="J53" s="121"/>
      <c r="K53" s="121"/>
      <c r="L53" s="121"/>
      <c r="N53" s="76"/>
      <c r="O53" s="76"/>
      <c r="P53" s="107">
        <f>0.00256*$E$9*$E$10*$E$12*'Span Table '!$K$9^2*$E$11*$E$14*$F$25</f>
        <v>13.423656959999997</v>
      </c>
      <c r="Q53" s="76" t="s">
        <v>115</v>
      </c>
      <c r="R53" s="76" t="s">
        <v>17</v>
      </c>
      <c r="S53" s="76"/>
      <c r="T53" s="107" t="s">
        <v>117</v>
      </c>
    </row>
    <row r="54" spans="1:20" ht="15.75" customHeight="1" x14ac:dyDescent="0.25">
      <c r="B54" s="230" t="s">
        <v>118</v>
      </c>
      <c r="C54" s="230"/>
      <c r="D54" s="230"/>
      <c r="E54" s="10">
        <v>1</v>
      </c>
      <c r="F54" s="121"/>
      <c r="G54" s="121"/>
      <c r="H54" s="121"/>
      <c r="I54" s="121"/>
      <c r="J54" s="121"/>
      <c r="K54" s="121"/>
      <c r="L54" s="121"/>
      <c r="N54" s="76"/>
      <c r="O54" s="76"/>
      <c r="P54" s="107">
        <f>'Span Table '!K10*0.7*$E$52*$E$53*$E$54*$E$55</f>
        <v>0</v>
      </c>
      <c r="Q54" s="76" t="s">
        <v>115</v>
      </c>
      <c r="R54" s="76" t="s">
        <v>119</v>
      </c>
      <c r="S54" s="76"/>
      <c r="T54" s="107" t="s">
        <v>120</v>
      </c>
    </row>
    <row r="55" spans="1:20" ht="15.75" customHeight="1" x14ac:dyDescent="0.25">
      <c r="B55" s="230" t="s">
        <v>121</v>
      </c>
      <c r="C55" s="230"/>
      <c r="D55" s="230"/>
      <c r="E55" s="10">
        <v>1</v>
      </c>
      <c r="F55" s="121"/>
      <c r="G55" s="121"/>
      <c r="H55" s="121"/>
      <c r="I55" s="121"/>
      <c r="J55" s="121"/>
      <c r="K55" s="121"/>
      <c r="L55" s="121"/>
      <c r="N55" s="76"/>
      <c r="O55" s="76"/>
      <c r="P55" s="76">
        <v>10</v>
      </c>
      <c r="Q55" s="76" t="s">
        <v>115</v>
      </c>
      <c r="R55" s="76" t="s">
        <v>122</v>
      </c>
      <c r="S55" s="76"/>
    </row>
    <row r="56" spans="1:20" ht="15.75" customHeight="1" x14ac:dyDescent="0.2">
      <c r="B56" s="11"/>
      <c r="C56" s="11"/>
      <c r="D56" s="11"/>
      <c r="E56" s="121"/>
      <c r="F56" s="121"/>
      <c r="G56" s="121"/>
      <c r="H56" s="121"/>
      <c r="I56" s="121"/>
      <c r="J56" s="121"/>
      <c r="K56" s="121"/>
      <c r="L56" s="121"/>
      <c r="N56" s="76"/>
      <c r="O56" s="76"/>
      <c r="P56" s="76"/>
      <c r="Q56" s="76"/>
      <c r="R56" s="76"/>
      <c r="S56" s="76"/>
    </row>
    <row r="57" spans="1:20" ht="15.75" customHeight="1" thickBot="1" x14ac:dyDescent="0.25">
      <c r="B57" s="229" t="s">
        <v>123</v>
      </c>
      <c r="C57" s="229"/>
      <c r="D57" s="229"/>
      <c r="E57" s="229"/>
      <c r="F57" s="229"/>
      <c r="G57" s="229"/>
      <c r="H57" s="229"/>
      <c r="I57" s="229"/>
      <c r="J57" s="229"/>
      <c r="K57" s="229"/>
      <c r="L57" s="121"/>
      <c r="N57" s="76"/>
      <c r="O57" s="76" t="s">
        <v>124</v>
      </c>
      <c r="P57" s="76"/>
      <c r="Q57" s="76">
        <f>MAX(DL+WL,DL+SL,DL+0.75*WL+0.75*SL,DL+LL,DL+WL*0.75+LL*0.75)</f>
        <v>21.053326080415989</v>
      </c>
      <c r="R57" s="76" t="s">
        <v>115</v>
      </c>
      <c r="S57" s="76"/>
    </row>
    <row r="58" spans="1:20" ht="15.75" customHeight="1" x14ac:dyDescent="0.25">
      <c r="B58" s="226" t="s">
        <v>125</v>
      </c>
      <c r="C58" s="227"/>
      <c r="D58" s="227"/>
      <c r="E58" s="227"/>
      <c r="F58" s="227"/>
      <c r="G58" s="227"/>
      <c r="H58" s="227"/>
      <c r="I58" s="227"/>
      <c r="J58" s="227"/>
      <c r="K58" s="228"/>
      <c r="L58" s="121"/>
      <c r="O58" s="72"/>
    </row>
    <row r="59" spans="1:20" ht="15.75" customHeight="1" thickBot="1" x14ac:dyDescent="0.25">
      <c r="B59" s="27">
        <v>0</v>
      </c>
      <c r="C59" s="22">
        <v>10</v>
      </c>
      <c r="D59" s="22">
        <v>15</v>
      </c>
      <c r="E59" s="22">
        <v>20</v>
      </c>
      <c r="F59" s="22">
        <v>25</v>
      </c>
      <c r="G59" s="22">
        <v>30</v>
      </c>
      <c r="H59" s="22">
        <v>35</v>
      </c>
      <c r="I59" s="22">
        <v>40</v>
      </c>
      <c r="J59" s="22">
        <v>45</v>
      </c>
      <c r="K59" s="23">
        <v>50</v>
      </c>
      <c r="L59" s="121"/>
    </row>
    <row r="60" spans="1:20" ht="15.75" customHeight="1" thickBot="1" x14ac:dyDescent="0.25">
      <c r="B60" s="28">
        <f>0.7*$E$52*$E$53*$E$54*$E$55*B$59</f>
        <v>0</v>
      </c>
      <c r="C60" s="29">
        <f t="shared" ref="C60:K60" si="9">0.7*$E$52*$E$53*$E$54*$E$55*C$59</f>
        <v>7.5600000000000005</v>
      </c>
      <c r="D60" s="29">
        <f>0.7*$E$52*$E$53*$E$54*$E$55*D$59</f>
        <v>11.34</v>
      </c>
      <c r="E60" s="29">
        <f t="shared" si="9"/>
        <v>15.120000000000001</v>
      </c>
      <c r="F60" s="29">
        <f t="shared" si="9"/>
        <v>18.899999999999999</v>
      </c>
      <c r="G60" s="29">
        <f t="shared" si="9"/>
        <v>22.68</v>
      </c>
      <c r="H60" s="29">
        <f t="shared" si="9"/>
        <v>26.46</v>
      </c>
      <c r="I60" s="29">
        <f t="shared" si="9"/>
        <v>30.240000000000002</v>
      </c>
      <c r="J60" s="29">
        <f t="shared" si="9"/>
        <v>34.020000000000003</v>
      </c>
      <c r="K60" s="30">
        <f t="shared" si="9"/>
        <v>37.799999999999997</v>
      </c>
      <c r="L60" s="121"/>
    </row>
    <row r="61" spans="1:20" ht="15.75" customHeight="1" x14ac:dyDescent="0.2">
      <c r="B61" s="121"/>
      <c r="C61" s="121"/>
      <c r="D61" s="121"/>
      <c r="E61" s="121"/>
      <c r="F61" s="121"/>
      <c r="G61" s="121"/>
      <c r="H61" s="121"/>
      <c r="I61" s="121"/>
      <c r="J61" s="121"/>
      <c r="K61" s="121"/>
      <c r="L61" s="121"/>
    </row>
    <row r="62" spans="1:20" ht="15.75" customHeight="1" x14ac:dyDescent="0.2">
      <c r="A62" s="70"/>
      <c r="B62" s="71"/>
      <c r="C62" s="71"/>
      <c r="D62" s="71"/>
      <c r="E62" s="71"/>
      <c r="F62" s="71"/>
      <c r="G62" s="71"/>
      <c r="H62" s="71"/>
      <c r="I62" s="71"/>
      <c r="J62" s="71"/>
      <c r="K62" s="71"/>
      <c r="L62" s="71"/>
    </row>
    <row r="63" spans="1:20" ht="15.75" customHeight="1" thickBot="1" x14ac:dyDescent="0.25">
      <c r="B63" s="229" t="s">
        <v>126</v>
      </c>
      <c r="C63" s="229"/>
      <c r="D63" s="229"/>
      <c r="E63" s="229"/>
      <c r="F63" s="229"/>
      <c r="G63" s="229"/>
      <c r="H63" s="229"/>
      <c r="I63" s="229"/>
      <c r="J63" s="229"/>
      <c r="K63" s="229"/>
      <c r="L63" s="121"/>
    </row>
    <row r="64" spans="1:20" ht="15.75" customHeight="1" x14ac:dyDescent="0.2">
      <c r="B64" s="224" t="s">
        <v>88</v>
      </c>
      <c r="C64" s="226" t="s">
        <v>127</v>
      </c>
      <c r="D64" s="227"/>
      <c r="E64" s="227"/>
      <c r="F64" s="227"/>
      <c r="G64" s="227"/>
      <c r="H64" s="227"/>
      <c r="I64" s="227"/>
      <c r="J64" s="227"/>
      <c r="K64" s="228"/>
      <c r="L64" s="121"/>
    </row>
    <row r="65" spans="2:12" ht="15.75" customHeight="1" thickBot="1" x14ac:dyDescent="0.25">
      <c r="B65" s="225"/>
      <c r="C65" s="34">
        <v>0</v>
      </c>
      <c r="D65" s="35">
        <v>10</v>
      </c>
      <c r="E65" s="35">
        <v>15</v>
      </c>
      <c r="F65" s="35">
        <v>20</v>
      </c>
      <c r="G65" s="35">
        <v>25</v>
      </c>
      <c r="H65" s="35">
        <v>30</v>
      </c>
      <c r="I65" s="35">
        <v>35</v>
      </c>
      <c r="J65" s="35">
        <v>40</v>
      </c>
      <c r="K65" s="36">
        <v>45</v>
      </c>
      <c r="L65" s="121"/>
    </row>
    <row r="66" spans="2:12" ht="15.75" customHeight="1" x14ac:dyDescent="0.2">
      <c r="B66" s="31" t="s">
        <v>91</v>
      </c>
      <c r="C66" s="14">
        <f>3.5+0.75*$C32+0.75*$G$52</f>
        <v>-4.2547254400000005</v>
      </c>
      <c r="D66" s="15">
        <f t="shared" ref="D66:J66" si="10">3.5+0.75*$C32+0.75*C$60+0.75*$G$52</f>
        <v>1.4152745599999994</v>
      </c>
      <c r="E66" s="15">
        <f t="shared" si="10"/>
        <v>4.2502745599999985</v>
      </c>
      <c r="F66" s="15">
        <f t="shared" si="10"/>
        <v>7.0852745599999993</v>
      </c>
      <c r="G66" s="15">
        <f t="shared" si="10"/>
        <v>9.9202745599999993</v>
      </c>
      <c r="H66" s="15">
        <f t="shared" si="10"/>
        <v>12.755274559999997</v>
      </c>
      <c r="I66" s="15">
        <f t="shared" si="10"/>
        <v>15.590274559999997</v>
      </c>
      <c r="J66" s="15">
        <f t="shared" si="10"/>
        <v>18.425274559999998</v>
      </c>
      <c r="K66" s="16">
        <f>3.5+0.75*$C32+0.75*J$60+0.75*$G$52</f>
        <v>21.260274559999999</v>
      </c>
      <c r="L66" s="121"/>
    </row>
    <row r="67" spans="2:12" ht="15.75" customHeight="1" x14ac:dyDescent="0.2">
      <c r="B67" s="32" t="s">
        <v>92</v>
      </c>
      <c r="C67" s="17">
        <f>3.5+0.75*$C33+0.75*B$60+0.75*$G$52</f>
        <v>11.95970048</v>
      </c>
      <c r="D67" s="13">
        <f t="shared" ref="D67:K67" si="11">3.5+0.75*$C33+0.75*C$60+0.75*$G$52</f>
        <v>17.62970048</v>
      </c>
      <c r="E67" s="13">
        <f t="shared" si="11"/>
        <v>20.464700479999998</v>
      </c>
      <c r="F67" s="13">
        <f t="shared" si="11"/>
        <v>23.299700479999998</v>
      </c>
      <c r="G67" s="13">
        <f t="shared" si="11"/>
        <v>26.134700479999999</v>
      </c>
      <c r="H67" s="13">
        <f t="shared" si="11"/>
        <v>28.96970048</v>
      </c>
      <c r="I67" s="13">
        <f t="shared" si="11"/>
        <v>31.804700480000001</v>
      </c>
      <c r="J67" s="13">
        <f t="shared" si="11"/>
        <v>34.639700480000002</v>
      </c>
      <c r="K67" s="18">
        <f t="shared" si="11"/>
        <v>37.474700480000003</v>
      </c>
      <c r="L67" s="121"/>
    </row>
    <row r="68" spans="2:12" ht="15.75" customHeight="1" x14ac:dyDescent="0.2">
      <c r="B68" s="32" t="s">
        <v>93</v>
      </c>
      <c r="C68" s="17">
        <f t="shared" ref="C68:K71" si="12">3.5+0.75*$C34+0.75*B$60+0.75*$G$52</f>
        <v>-4.2547254400000005</v>
      </c>
      <c r="D68" s="13">
        <f t="shared" si="12"/>
        <v>1.4152745599999994</v>
      </c>
      <c r="E68" s="13">
        <f t="shared" si="12"/>
        <v>4.2502745599999985</v>
      </c>
      <c r="F68" s="13">
        <f t="shared" si="12"/>
        <v>7.0852745599999993</v>
      </c>
      <c r="G68" s="13">
        <f t="shared" si="12"/>
        <v>9.9202745599999993</v>
      </c>
      <c r="H68" s="13">
        <f t="shared" si="12"/>
        <v>12.755274559999997</v>
      </c>
      <c r="I68" s="13">
        <f t="shared" si="12"/>
        <v>15.590274559999997</v>
      </c>
      <c r="J68" s="13">
        <f t="shared" si="12"/>
        <v>18.425274559999998</v>
      </c>
      <c r="K68" s="18">
        <f t="shared" si="12"/>
        <v>21.260274559999999</v>
      </c>
      <c r="L68" s="121"/>
    </row>
    <row r="69" spans="2:12" ht="15.75" customHeight="1" x14ac:dyDescent="0.2">
      <c r="B69" s="32" t="s">
        <v>95</v>
      </c>
      <c r="C69" s="17">
        <f t="shared" si="12"/>
        <v>11.95970048</v>
      </c>
      <c r="D69" s="13">
        <f t="shared" si="12"/>
        <v>17.62970048</v>
      </c>
      <c r="E69" s="13">
        <f t="shared" si="12"/>
        <v>20.464700479999998</v>
      </c>
      <c r="F69" s="13">
        <f>3.5+0.75*$C35+0.75*E$60+0.75*$G$52</f>
        <v>23.299700479999998</v>
      </c>
      <c r="G69" s="13">
        <f t="shared" si="12"/>
        <v>26.134700479999999</v>
      </c>
      <c r="H69" s="13">
        <f>3.5+0.75*$C35+0.75*G$60+0.75*$G$52</f>
        <v>28.96970048</v>
      </c>
      <c r="I69" s="13">
        <f t="shared" si="12"/>
        <v>31.804700480000001</v>
      </c>
      <c r="J69" s="13">
        <f t="shared" si="12"/>
        <v>34.639700480000002</v>
      </c>
      <c r="K69" s="18">
        <f t="shared" si="12"/>
        <v>37.474700480000003</v>
      </c>
      <c r="L69" s="121"/>
    </row>
    <row r="70" spans="2:12" ht="15.75" customHeight="1" x14ac:dyDescent="0.2">
      <c r="B70" s="32" t="s">
        <v>97</v>
      </c>
      <c r="C70" s="17">
        <f>3.5+0.75*$C36+0.75*B$60+0.75*$G$52</f>
        <v>-4.2547254400000005</v>
      </c>
      <c r="D70" s="13">
        <f t="shared" si="12"/>
        <v>1.4152745599999994</v>
      </c>
      <c r="E70" s="13">
        <f t="shared" si="12"/>
        <v>4.2502745599999985</v>
      </c>
      <c r="F70" s="13">
        <f t="shared" si="12"/>
        <v>7.0852745599999993</v>
      </c>
      <c r="G70" s="13">
        <f t="shared" si="12"/>
        <v>9.9202745599999993</v>
      </c>
      <c r="H70" s="13">
        <f t="shared" si="12"/>
        <v>12.755274559999997</v>
      </c>
      <c r="I70" s="13">
        <f t="shared" si="12"/>
        <v>15.590274559999997</v>
      </c>
      <c r="J70" s="13">
        <f t="shared" si="12"/>
        <v>18.425274559999998</v>
      </c>
      <c r="K70" s="18">
        <f t="shared" si="12"/>
        <v>21.260274559999999</v>
      </c>
      <c r="L70" s="121"/>
    </row>
    <row r="71" spans="2:12" ht="15.75" customHeight="1" x14ac:dyDescent="0.2">
      <c r="B71" s="32" t="s">
        <v>98</v>
      </c>
      <c r="C71" s="17">
        <f t="shared" si="12"/>
        <v>11.95970048</v>
      </c>
      <c r="D71" s="13">
        <f t="shared" si="12"/>
        <v>17.62970048</v>
      </c>
      <c r="E71" s="13">
        <f t="shared" si="12"/>
        <v>20.464700479999998</v>
      </c>
      <c r="F71" s="13">
        <f t="shared" si="12"/>
        <v>23.299700479999998</v>
      </c>
      <c r="G71" s="13">
        <f t="shared" si="12"/>
        <v>26.134700479999999</v>
      </c>
      <c r="H71" s="13">
        <f t="shared" si="12"/>
        <v>28.96970048</v>
      </c>
      <c r="I71" s="13">
        <f t="shared" si="12"/>
        <v>31.804700480000001</v>
      </c>
      <c r="J71" s="13">
        <f t="shared" si="12"/>
        <v>34.639700480000002</v>
      </c>
      <c r="K71" s="18">
        <f t="shared" si="12"/>
        <v>37.474700480000003</v>
      </c>
      <c r="L71" s="121"/>
    </row>
    <row r="72" spans="2:12" ht="15.75" customHeight="1" x14ac:dyDescent="0.2">
      <c r="B72" s="32" t="s">
        <v>99</v>
      </c>
      <c r="C72" s="17">
        <f>3.5+0.75*$C38+0.75*B$60+0.75*$G$52</f>
        <v>-4.2547254400000005</v>
      </c>
      <c r="D72" s="13">
        <f t="shared" ref="D72:K72" si="13">3.5+0.75*$C38+0.75*C$60+0.75*$G$52</f>
        <v>1.4152745599999994</v>
      </c>
      <c r="E72" s="13">
        <f t="shared" si="13"/>
        <v>4.2502745599999985</v>
      </c>
      <c r="F72" s="13">
        <f t="shared" si="13"/>
        <v>7.0852745599999993</v>
      </c>
      <c r="G72" s="13">
        <f t="shared" si="13"/>
        <v>9.9202745599999993</v>
      </c>
      <c r="H72" s="13">
        <f t="shared" si="13"/>
        <v>12.755274559999997</v>
      </c>
      <c r="I72" s="13">
        <f t="shared" si="13"/>
        <v>15.590274559999997</v>
      </c>
      <c r="J72" s="13">
        <f t="shared" si="13"/>
        <v>18.425274559999998</v>
      </c>
      <c r="K72" s="18">
        <f t="shared" si="13"/>
        <v>21.260274559999999</v>
      </c>
      <c r="L72" s="121"/>
    </row>
    <row r="73" spans="2:12" ht="15.75" customHeight="1" thickBot="1" x14ac:dyDescent="0.25">
      <c r="B73" s="33" t="s">
        <v>100</v>
      </c>
      <c r="C73" s="19">
        <f>3.5+0.75*$C39+0.75*B$60+0.75*$G$52</f>
        <v>11.95970048</v>
      </c>
      <c r="D73" s="20">
        <f t="shared" ref="D73:K73" si="14">3.5+0.75*$C39+0.75*C$60+0.75*$G$52</f>
        <v>17.62970048</v>
      </c>
      <c r="E73" s="20">
        <f t="shared" si="14"/>
        <v>20.464700479999998</v>
      </c>
      <c r="F73" s="20">
        <f t="shared" si="14"/>
        <v>23.299700479999998</v>
      </c>
      <c r="G73" s="20">
        <f t="shared" si="14"/>
        <v>26.134700479999999</v>
      </c>
      <c r="H73" s="20">
        <f t="shared" si="14"/>
        <v>28.96970048</v>
      </c>
      <c r="I73" s="20">
        <f t="shared" si="14"/>
        <v>31.804700480000001</v>
      </c>
      <c r="J73" s="20">
        <f t="shared" si="14"/>
        <v>34.639700480000002</v>
      </c>
      <c r="K73" s="21">
        <f t="shared" si="14"/>
        <v>37.474700480000003</v>
      </c>
      <c r="L73" s="121"/>
    </row>
    <row r="74" spans="2:12" ht="15.75" customHeight="1" x14ac:dyDescent="0.2">
      <c r="B74" s="74"/>
      <c r="C74" s="75"/>
      <c r="D74" s="75"/>
      <c r="E74" s="75"/>
      <c r="F74" s="75"/>
      <c r="G74" s="75"/>
      <c r="H74" s="75"/>
      <c r="I74" s="75"/>
      <c r="J74" s="75"/>
      <c r="K74" s="75"/>
      <c r="L74" s="121"/>
    </row>
    <row r="75" spans="2:12" ht="15.75" customHeight="1" x14ac:dyDescent="0.2">
      <c r="B75" s="121"/>
      <c r="C75" s="121"/>
      <c r="D75" s="121"/>
      <c r="E75" s="121"/>
      <c r="F75" s="121"/>
      <c r="G75" s="121"/>
      <c r="H75" s="121"/>
      <c r="I75" s="121"/>
      <c r="J75" s="121"/>
      <c r="K75" s="121"/>
      <c r="L75" s="121"/>
    </row>
    <row r="76" spans="2:12" ht="15.75" customHeight="1" thickBot="1" x14ac:dyDescent="0.25">
      <c r="B76" s="229" t="s">
        <v>128</v>
      </c>
      <c r="C76" s="229"/>
      <c r="D76" s="229"/>
      <c r="E76" s="229"/>
      <c r="F76" s="229"/>
      <c r="G76" s="229"/>
      <c r="H76" s="229"/>
      <c r="I76" s="229"/>
      <c r="J76" s="229"/>
      <c r="K76" s="229"/>
      <c r="L76" s="121"/>
    </row>
    <row r="77" spans="2:12" ht="15.75" customHeight="1" x14ac:dyDescent="0.2">
      <c r="B77" s="224" t="s">
        <v>88</v>
      </c>
      <c r="C77" s="226" t="s">
        <v>127</v>
      </c>
      <c r="D77" s="227"/>
      <c r="E77" s="227"/>
      <c r="F77" s="227"/>
      <c r="G77" s="227"/>
      <c r="H77" s="227"/>
      <c r="I77" s="227"/>
      <c r="J77" s="227"/>
      <c r="K77" s="228"/>
      <c r="L77" s="121"/>
    </row>
    <row r="78" spans="2:12" ht="15.75" customHeight="1" thickBot="1" x14ac:dyDescent="0.25">
      <c r="B78" s="225"/>
      <c r="C78" s="34">
        <v>0</v>
      </c>
      <c r="D78" s="35">
        <v>10</v>
      </c>
      <c r="E78" s="35">
        <v>15</v>
      </c>
      <c r="F78" s="35">
        <v>20</v>
      </c>
      <c r="G78" s="35">
        <v>25</v>
      </c>
      <c r="H78" s="35">
        <v>30</v>
      </c>
      <c r="I78" s="35">
        <v>35</v>
      </c>
      <c r="J78" s="35">
        <v>40</v>
      </c>
      <c r="K78" s="36">
        <v>45</v>
      </c>
      <c r="L78" s="121"/>
    </row>
    <row r="79" spans="2:12" ht="15.75" customHeight="1" x14ac:dyDescent="0.2">
      <c r="B79" s="31" t="s">
        <v>91</v>
      </c>
      <c r="C79" s="14">
        <f>3.5+0.75*$D32+0.75*B$60+0.75*$G$52</f>
        <v>-4.9757226400000008</v>
      </c>
      <c r="D79" s="15">
        <f t="shared" ref="D79:K79" si="15">3.5+0.75*$D32+0.75*C$60+0.75*$G$52</f>
        <v>0.69427735999999918</v>
      </c>
      <c r="E79" s="15">
        <f t="shared" si="15"/>
        <v>3.5292773599999983</v>
      </c>
      <c r="F79" s="15">
        <f t="shared" si="15"/>
        <v>6.3642773599999991</v>
      </c>
      <c r="G79" s="15">
        <f t="shared" si="15"/>
        <v>9.1992773599999982</v>
      </c>
      <c r="H79" s="15">
        <f t="shared" si="15"/>
        <v>12.034277359999997</v>
      </c>
      <c r="I79" s="15">
        <f t="shared" si="15"/>
        <v>14.869277359999998</v>
      </c>
      <c r="J79" s="15">
        <f t="shared" si="15"/>
        <v>17.704277359999999</v>
      </c>
      <c r="K79" s="16">
        <f t="shared" si="15"/>
        <v>20.53927736</v>
      </c>
      <c r="L79" s="121"/>
    </row>
    <row r="80" spans="2:12" ht="15.75" customHeight="1" x14ac:dyDescent="0.2">
      <c r="B80" s="32" t="s">
        <v>92</v>
      </c>
      <c r="C80" s="17">
        <f t="shared" ref="C80:K84" si="16">3.5+0.75*$D33+0.75*B$60+0.75*$G$52</f>
        <v>12.74624288</v>
      </c>
      <c r="D80" s="13">
        <f t="shared" si="16"/>
        <v>18.416242879999999</v>
      </c>
      <c r="E80" s="13">
        <f t="shared" si="16"/>
        <v>21.25124288</v>
      </c>
      <c r="F80" s="13">
        <f t="shared" si="16"/>
        <v>24.08624288</v>
      </c>
      <c r="G80" s="13">
        <f t="shared" si="16"/>
        <v>26.921242880000001</v>
      </c>
      <c r="H80" s="13">
        <f t="shared" si="16"/>
        <v>29.756242879999999</v>
      </c>
      <c r="I80" s="13">
        <f t="shared" si="16"/>
        <v>32.591242879999996</v>
      </c>
      <c r="J80" s="13">
        <f t="shared" si="16"/>
        <v>35.426242880000004</v>
      </c>
      <c r="K80" s="18">
        <f t="shared" si="16"/>
        <v>38.261242879999998</v>
      </c>
      <c r="L80" s="121"/>
    </row>
    <row r="81" spans="2:12" ht="15.75" customHeight="1" x14ac:dyDescent="0.2">
      <c r="B81" s="32" t="s">
        <v>93</v>
      </c>
      <c r="C81" s="17">
        <f t="shared" si="16"/>
        <v>-4.9757226400000008</v>
      </c>
      <c r="D81" s="13">
        <f t="shared" si="16"/>
        <v>0.69427735999999918</v>
      </c>
      <c r="E81" s="13">
        <f t="shared" si="16"/>
        <v>3.5292773599999983</v>
      </c>
      <c r="F81" s="13">
        <f t="shared" si="16"/>
        <v>6.3642773599999991</v>
      </c>
      <c r="G81" s="13">
        <f t="shared" si="16"/>
        <v>9.1992773599999982</v>
      </c>
      <c r="H81" s="13">
        <f t="shared" si="16"/>
        <v>12.034277359999997</v>
      </c>
      <c r="I81" s="13">
        <f t="shared" si="16"/>
        <v>14.869277359999998</v>
      </c>
      <c r="J81" s="13">
        <f t="shared" si="16"/>
        <v>17.704277359999999</v>
      </c>
      <c r="K81" s="18">
        <f t="shared" si="16"/>
        <v>20.53927736</v>
      </c>
      <c r="L81" s="121"/>
    </row>
    <row r="82" spans="2:12" ht="15.75" customHeight="1" x14ac:dyDescent="0.2">
      <c r="B82" s="32" t="s">
        <v>95</v>
      </c>
      <c r="C82" s="17">
        <f t="shared" si="16"/>
        <v>12.74624288</v>
      </c>
      <c r="D82" s="13">
        <f t="shared" si="16"/>
        <v>18.416242879999999</v>
      </c>
      <c r="E82" s="13">
        <f t="shared" si="16"/>
        <v>21.25124288</v>
      </c>
      <c r="F82" s="13">
        <f t="shared" si="16"/>
        <v>24.08624288</v>
      </c>
      <c r="G82" s="13">
        <f t="shared" si="16"/>
        <v>26.921242880000001</v>
      </c>
      <c r="H82" s="13">
        <f t="shared" si="16"/>
        <v>29.756242879999999</v>
      </c>
      <c r="I82" s="13">
        <f t="shared" si="16"/>
        <v>32.591242879999996</v>
      </c>
      <c r="J82" s="13">
        <f t="shared" si="16"/>
        <v>35.426242880000004</v>
      </c>
      <c r="K82" s="18">
        <f t="shared" si="16"/>
        <v>38.261242879999998</v>
      </c>
      <c r="L82" s="121"/>
    </row>
    <row r="83" spans="2:12" ht="15.75" customHeight="1" x14ac:dyDescent="0.2">
      <c r="B83" s="32" t="s">
        <v>97</v>
      </c>
      <c r="C83" s="17">
        <f t="shared" si="16"/>
        <v>-4.9757226400000008</v>
      </c>
      <c r="D83" s="13">
        <f t="shared" si="16"/>
        <v>0.69427735999999918</v>
      </c>
      <c r="E83" s="13">
        <f t="shared" si="16"/>
        <v>3.5292773599999983</v>
      </c>
      <c r="F83" s="13">
        <f t="shared" si="16"/>
        <v>6.3642773599999991</v>
      </c>
      <c r="G83" s="13">
        <f t="shared" si="16"/>
        <v>9.1992773599999982</v>
      </c>
      <c r="H83" s="13">
        <f t="shared" si="16"/>
        <v>12.034277359999997</v>
      </c>
      <c r="I83" s="13">
        <f t="shared" si="16"/>
        <v>14.869277359999998</v>
      </c>
      <c r="J83" s="13">
        <f t="shared" si="16"/>
        <v>17.704277359999999</v>
      </c>
      <c r="K83" s="18">
        <f t="shared" si="16"/>
        <v>20.53927736</v>
      </c>
      <c r="L83" s="121"/>
    </row>
    <row r="84" spans="2:12" ht="15.75" customHeight="1" x14ac:dyDescent="0.2">
      <c r="B84" s="32" t="s">
        <v>98</v>
      </c>
      <c r="C84" s="17">
        <f t="shared" si="16"/>
        <v>12.74624288</v>
      </c>
      <c r="D84" s="13">
        <f t="shared" si="16"/>
        <v>18.416242879999999</v>
      </c>
      <c r="E84" s="13">
        <f t="shared" si="16"/>
        <v>21.25124288</v>
      </c>
      <c r="F84" s="13">
        <f t="shared" si="16"/>
        <v>24.08624288</v>
      </c>
      <c r="G84" s="13">
        <f t="shared" si="16"/>
        <v>26.921242880000001</v>
      </c>
      <c r="H84" s="13">
        <f t="shared" si="16"/>
        <v>29.756242879999999</v>
      </c>
      <c r="I84" s="13">
        <f t="shared" si="16"/>
        <v>32.591242879999996</v>
      </c>
      <c r="J84" s="13">
        <f t="shared" si="16"/>
        <v>35.426242880000004</v>
      </c>
      <c r="K84" s="18">
        <f t="shared" si="16"/>
        <v>38.261242879999998</v>
      </c>
      <c r="L84" s="121"/>
    </row>
    <row r="85" spans="2:12" ht="15.75" customHeight="1" x14ac:dyDescent="0.2">
      <c r="B85" s="32" t="s">
        <v>99</v>
      </c>
      <c r="C85" s="17">
        <f>3.5+0.75*$D38+0.75*B$60+0.75*$G$52</f>
        <v>-4.9757226400000008</v>
      </c>
      <c r="D85" s="13">
        <f t="shared" ref="D85:K85" si="17">3.5+0.75*$D38+0.75*C$60+0.75*$G$52</f>
        <v>0.69427735999999918</v>
      </c>
      <c r="E85" s="13">
        <f t="shared" si="17"/>
        <v>3.5292773599999983</v>
      </c>
      <c r="F85" s="13">
        <f t="shared" si="17"/>
        <v>6.3642773599999991</v>
      </c>
      <c r="G85" s="13">
        <f t="shared" si="17"/>
        <v>9.1992773599999982</v>
      </c>
      <c r="H85" s="13">
        <f t="shared" si="17"/>
        <v>12.034277359999997</v>
      </c>
      <c r="I85" s="13">
        <f t="shared" si="17"/>
        <v>14.869277359999998</v>
      </c>
      <c r="J85" s="13">
        <f t="shared" si="17"/>
        <v>17.704277359999999</v>
      </c>
      <c r="K85" s="18">
        <f t="shared" si="17"/>
        <v>20.53927736</v>
      </c>
      <c r="L85" s="121"/>
    </row>
    <row r="86" spans="2:12" ht="15.75" customHeight="1" thickBot="1" x14ac:dyDescent="0.25">
      <c r="B86" s="33" t="s">
        <v>100</v>
      </c>
      <c r="C86" s="19">
        <f>3.5+0.75*$D39+0.75*B$60+0.75*$G$52</f>
        <v>12.74624288</v>
      </c>
      <c r="D86" s="20">
        <f>3.5+0.75*$D39+0.75*C$60+0.75*$G$52</f>
        <v>18.416242879999999</v>
      </c>
      <c r="E86" s="20">
        <f t="shared" ref="E86:K86" si="18">3.5+0.75*$D39+0.75*D$60+0.75*$G$52</f>
        <v>21.25124288</v>
      </c>
      <c r="F86" s="20">
        <f t="shared" si="18"/>
        <v>24.08624288</v>
      </c>
      <c r="G86" s="20">
        <f t="shared" si="18"/>
        <v>26.921242880000001</v>
      </c>
      <c r="H86" s="20">
        <f t="shared" si="18"/>
        <v>29.756242879999999</v>
      </c>
      <c r="I86" s="20">
        <f t="shared" si="18"/>
        <v>32.591242879999996</v>
      </c>
      <c r="J86" s="20">
        <f t="shared" si="18"/>
        <v>35.426242880000004</v>
      </c>
      <c r="K86" s="21">
        <f t="shared" si="18"/>
        <v>38.261242879999998</v>
      </c>
      <c r="L86" s="121"/>
    </row>
    <row r="87" spans="2:12" ht="15.75" customHeight="1" x14ac:dyDescent="0.2">
      <c r="B87" s="121"/>
      <c r="C87" s="121"/>
      <c r="D87" s="121"/>
      <c r="E87" s="121"/>
      <c r="F87" s="121"/>
      <c r="G87" s="121"/>
      <c r="H87" s="121"/>
      <c r="I87" s="121"/>
      <c r="J87" s="121"/>
      <c r="K87" s="121"/>
      <c r="L87" s="121"/>
    </row>
    <row r="88" spans="2:12" ht="15.75" customHeight="1" x14ac:dyDescent="0.2">
      <c r="B88" s="121"/>
      <c r="C88" s="121"/>
      <c r="D88" s="121"/>
      <c r="E88" s="121"/>
      <c r="F88" s="121"/>
      <c r="G88" s="121"/>
      <c r="H88" s="121"/>
      <c r="I88" s="121"/>
      <c r="J88" s="121"/>
      <c r="K88" s="121"/>
      <c r="L88" s="121"/>
    </row>
    <row r="89" spans="2:12" ht="15.75" customHeight="1" x14ac:dyDescent="0.2">
      <c r="B89" s="121"/>
      <c r="C89" s="121"/>
      <c r="D89" s="121"/>
      <c r="E89" s="121"/>
      <c r="F89" s="121"/>
      <c r="G89" s="121"/>
      <c r="H89" s="121"/>
      <c r="I89" s="121"/>
      <c r="J89" s="121"/>
      <c r="K89" s="121"/>
      <c r="L89" s="121"/>
    </row>
    <row r="90" spans="2:12" ht="15.75" customHeight="1" x14ac:dyDescent="0.2">
      <c r="B90" s="121"/>
      <c r="C90" s="121"/>
      <c r="D90" s="121"/>
      <c r="E90" s="121"/>
      <c r="F90" s="121"/>
      <c r="G90" s="121"/>
      <c r="H90" s="121"/>
      <c r="I90" s="121"/>
      <c r="J90" s="121"/>
      <c r="K90" s="121"/>
      <c r="L90" s="121"/>
    </row>
    <row r="91" spans="2:12" ht="15.75" customHeight="1" x14ac:dyDescent="0.2">
      <c r="B91" s="121"/>
      <c r="C91" s="121"/>
      <c r="D91" s="121"/>
      <c r="E91" s="121"/>
      <c r="F91" s="121"/>
      <c r="G91" s="121"/>
      <c r="H91" s="121"/>
      <c r="I91" s="121"/>
      <c r="J91" s="121"/>
      <c r="K91" s="121"/>
      <c r="L91" s="121"/>
    </row>
    <row r="92" spans="2:12" ht="15.75" customHeight="1" x14ac:dyDescent="0.2">
      <c r="B92" s="121"/>
      <c r="C92" s="121"/>
      <c r="D92" s="121"/>
      <c r="E92" s="121"/>
      <c r="F92" s="121"/>
      <c r="G92" s="121"/>
      <c r="H92" s="121"/>
      <c r="I92" s="121"/>
      <c r="J92" s="121"/>
      <c r="K92" s="121"/>
      <c r="L92" s="121"/>
    </row>
    <row r="93" spans="2:12" ht="15.75" customHeight="1" x14ac:dyDescent="0.2">
      <c r="B93" s="121"/>
      <c r="C93" s="121"/>
      <c r="D93" s="121"/>
      <c r="E93" s="121"/>
      <c r="F93" s="121"/>
      <c r="G93" s="121"/>
      <c r="H93" s="121"/>
      <c r="I93" s="121"/>
      <c r="J93" s="121"/>
      <c r="K93" s="121"/>
      <c r="L93" s="121"/>
    </row>
    <row r="94" spans="2:12" ht="15.75" customHeight="1" thickBot="1" x14ac:dyDescent="0.25">
      <c r="B94" s="229" t="s">
        <v>129</v>
      </c>
      <c r="C94" s="229"/>
      <c r="D94" s="229"/>
      <c r="E94" s="229"/>
      <c r="F94" s="229"/>
      <c r="G94" s="229"/>
      <c r="H94" s="229"/>
      <c r="I94" s="229"/>
      <c r="J94" s="229"/>
      <c r="K94" s="229"/>
      <c r="L94" s="121"/>
    </row>
    <row r="95" spans="2:12" ht="15.75" customHeight="1" x14ac:dyDescent="0.2">
      <c r="B95" s="224" t="s">
        <v>88</v>
      </c>
      <c r="C95" s="226" t="s">
        <v>127</v>
      </c>
      <c r="D95" s="227"/>
      <c r="E95" s="227"/>
      <c r="F95" s="227"/>
      <c r="G95" s="227"/>
      <c r="H95" s="227"/>
      <c r="I95" s="227"/>
      <c r="J95" s="227"/>
      <c r="K95" s="228"/>
      <c r="L95" s="121"/>
    </row>
    <row r="96" spans="2:12" ht="15.75" customHeight="1" thickBot="1" x14ac:dyDescent="0.25">
      <c r="B96" s="225"/>
      <c r="C96" s="34">
        <v>0</v>
      </c>
      <c r="D96" s="35">
        <v>10</v>
      </c>
      <c r="E96" s="35">
        <v>15</v>
      </c>
      <c r="F96" s="35">
        <v>20</v>
      </c>
      <c r="G96" s="35">
        <v>25</v>
      </c>
      <c r="H96" s="35">
        <v>30</v>
      </c>
      <c r="I96" s="35">
        <v>35</v>
      </c>
      <c r="J96" s="35">
        <v>40</v>
      </c>
      <c r="K96" s="36">
        <v>45</v>
      </c>
      <c r="L96" s="121"/>
    </row>
    <row r="97" spans="2:12" ht="15.75" customHeight="1" x14ac:dyDescent="0.2">
      <c r="B97" s="31" t="s">
        <v>91</v>
      </c>
      <c r="C97" s="14">
        <f>3.5+0.75*$E32+0.75*B$60+0.75*$G$52</f>
        <v>-5.728764159999999</v>
      </c>
      <c r="D97" s="15">
        <f t="shared" ref="D97:K97" si="19">3.5+0.75*$E32+0.75*C$60+0.75*$G$52</f>
        <v>-5.8764159999999066E-2</v>
      </c>
      <c r="E97" s="15">
        <f t="shared" si="19"/>
        <v>2.77623584</v>
      </c>
      <c r="F97" s="15">
        <f t="shared" si="19"/>
        <v>5.6112358400000009</v>
      </c>
      <c r="G97" s="15">
        <f t="shared" si="19"/>
        <v>8.4462358399999999</v>
      </c>
      <c r="H97" s="15">
        <f t="shared" si="19"/>
        <v>11.281235839999999</v>
      </c>
      <c r="I97" s="15">
        <f t="shared" si="19"/>
        <v>14.11623584</v>
      </c>
      <c r="J97" s="15">
        <f t="shared" si="19"/>
        <v>16.951235840000002</v>
      </c>
      <c r="K97" s="16">
        <f t="shared" si="19"/>
        <v>19.786235840000003</v>
      </c>
      <c r="L97" s="121"/>
    </row>
    <row r="98" spans="2:12" ht="15.75" customHeight="1" x14ac:dyDescent="0.2">
      <c r="B98" s="32" t="s">
        <v>92</v>
      </c>
      <c r="C98" s="17">
        <f t="shared" ref="C98:K102" si="20">3.5+0.75*$E33+0.75*B$60+0.75*$G$52</f>
        <v>13.567742719999998</v>
      </c>
      <c r="D98" s="13">
        <f t="shared" si="20"/>
        <v>19.23774272</v>
      </c>
      <c r="E98" s="13">
        <f t="shared" si="20"/>
        <v>22.072742719999997</v>
      </c>
      <c r="F98" s="13">
        <f t="shared" si="20"/>
        <v>24.907742719999998</v>
      </c>
      <c r="G98" s="13">
        <f t="shared" si="20"/>
        <v>27.742742719999995</v>
      </c>
      <c r="H98" s="13">
        <f t="shared" si="20"/>
        <v>30.577742719999996</v>
      </c>
      <c r="I98" s="13">
        <f t="shared" si="20"/>
        <v>33.412742719999997</v>
      </c>
      <c r="J98" s="13">
        <f t="shared" si="20"/>
        <v>36.247742719999998</v>
      </c>
      <c r="K98" s="18">
        <f t="shared" si="20"/>
        <v>39.082742719999999</v>
      </c>
      <c r="L98" s="121"/>
    </row>
    <row r="99" spans="2:12" ht="15.75" customHeight="1" x14ac:dyDescent="0.2">
      <c r="B99" s="32" t="s">
        <v>93</v>
      </c>
      <c r="C99" s="17">
        <f t="shared" si="20"/>
        <v>-5.728764159999999</v>
      </c>
      <c r="D99" s="13">
        <f t="shared" si="20"/>
        <v>-5.8764159999999066E-2</v>
      </c>
      <c r="E99" s="13">
        <f t="shared" si="20"/>
        <v>2.77623584</v>
      </c>
      <c r="F99" s="13">
        <f t="shared" si="20"/>
        <v>5.6112358400000009</v>
      </c>
      <c r="G99" s="13">
        <f t="shared" si="20"/>
        <v>8.4462358399999999</v>
      </c>
      <c r="H99" s="13">
        <f t="shared" si="20"/>
        <v>11.281235839999999</v>
      </c>
      <c r="I99" s="13">
        <f t="shared" si="20"/>
        <v>14.11623584</v>
      </c>
      <c r="J99" s="13">
        <f t="shared" si="20"/>
        <v>16.951235840000002</v>
      </c>
      <c r="K99" s="18">
        <f t="shared" si="20"/>
        <v>19.786235840000003</v>
      </c>
      <c r="L99" s="121"/>
    </row>
    <row r="100" spans="2:12" ht="15.75" customHeight="1" x14ac:dyDescent="0.2">
      <c r="B100" s="32" t="s">
        <v>95</v>
      </c>
      <c r="C100" s="17">
        <f t="shared" si="20"/>
        <v>13.567742719999998</v>
      </c>
      <c r="D100" s="13">
        <f t="shared" si="20"/>
        <v>19.23774272</v>
      </c>
      <c r="E100" s="13">
        <f t="shared" si="20"/>
        <v>22.072742719999997</v>
      </c>
      <c r="F100" s="13">
        <f t="shared" si="20"/>
        <v>24.907742719999998</v>
      </c>
      <c r="G100" s="13">
        <f t="shared" si="20"/>
        <v>27.742742719999995</v>
      </c>
      <c r="H100" s="13">
        <f t="shared" si="20"/>
        <v>30.577742719999996</v>
      </c>
      <c r="I100" s="13">
        <f t="shared" si="20"/>
        <v>33.412742719999997</v>
      </c>
      <c r="J100" s="13">
        <f t="shared" si="20"/>
        <v>36.247742719999998</v>
      </c>
      <c r="K100" s="18">
        <f t="shared" si="20"/>
        <v>39.082742719999999</v>
      </c>
      <c r="L100" s="121"/>
    </row>
    <row r="101" spans="2:12" ht="15.75" customHeight="1" x14ac:dyDescent="0.2">
      <c r="B101" s="32" t="s">
        <v>97</v>
      </c>
      <c r="C101" s="17">
        <f t="shared" si="20"/>
        <v>-5.728764159999999</v>
      </c>
      <c r="D101" s="13">
        <f t="shared" si="20"/>
        <v>-5.8764159999999066E-2</v>
      </c>
      <c r="E101" s="13">
        <f t="shared" si="20"/>
        <v>2.77623584</v>
      </c>
      <c r="F101" s="13">
        <f t="shared" si="20"/>
        <v>5.6112358400000009</v>
      </c>
      <c r="G101" s="13">
        <f t="shared" si="20"/>
        <v>8.4462358399999999</v>
      </c>
      <c r="H101" s="13">
        <f t="shared" si="20"/>
        <v>11.281235839999999</v>
      </c>
      <c r="I101" s="13">
        <f t="shared" si="20"/>
        <v>14.11623584</v>
      </c>
      <c r="J101" s="13">
        <f t="shared" si="20"/>
        <v>16.951235840000002</v>
      </c>
      <c r="K101" s="18">
        <f t="shared" si="20"/>
        <v>19.786235840000003</v>
      </c>
      <c r="L101" s="121"/>
    </row>
    <row r="102" spans="2:12" ht="15.75" customHeight="1" x14ac:dyDescent="0.2">
      <c r="B102" s="32" t="s">
        <v>98</v>
      </c>
      <c r="C102" s="17">
        <f t="shared" si="20"/>
        <v>13.567742719999998</v>
      </c>
      <c r="D102" s="13">
        <f t="shared" si="20"/>
        <v>19.23774272</v>
      </c>
      <c r="E102" s="13">
        <f t="shared" si="20"/>
        <v>22.072742719999997</v>
      </c>
      <c r="F102" s="13">
        <f t="shared" si="20"/>
        <v>24.907742719999998</v>
      </c>
      <c r="G102" s="13">
        <f t="shared" si="20"/>
        <v>27.742742719999995</v>
      </c>
      <c r="H102" s="13">
        <f t="shared" si="20"/>
        <v>30.577742719999996</v>
      </c>
      <c r="I102" s="13">
        <f t="shared" si="20"/>
        <v>33.412742719999997</v>
      </c>
      <c r="J102" s="13">
        <f t="shared" si="20"/>
        <v>36.247742719999998</v>
      </c>
      <c r="K102" s="18">
        <f t="shared" si="20"/>
        <v>39.082742719999999</v>
      </c>
      <c r="L102" s="121"/>
    </row>
    <row r="103" spans="2:12" ht="15.75" customHeight="1" x14ac:dyDescent="0.2">
      <c r="B103" s="32" t="s">
        <v>99</v>
      </c>
      <c r="C103" s="17">
        <f>3.5+0.75*$E38+0.75*B$60+0.75*$G$52</f>
        <v>-5.728764159999999</v>
      </c>
      <c r="D103" s="13">
        <f t="shared" ref="D103:K103" si="21">3.5+0.75*$E38+0.75*C$60+0.75*$G$52</f>
        <v>-5.8764159999999066E-2</v>
      </c>
      <c r="E103" s="13">
        <f t="shared" si="21"/>
        <v>2.77623584</v>
      </c>
      <c r="F103" s="13">
        <f t="shared" si="21"/>
        <v>5.6112358400000009</v>
      </c>
      <c r="G103" s="13">
        <f t="shared" si="21"/>
        <v>8.4462358399999999</v>
      </c>
      <c r="H103" s="13">
        <f t="shared" si="21"/>
        <v>11.281235839999999</v>
      </c>
      <c r="I103" s="13">
        <f t="shared" si="21"/>
        <v>14.11623584</v>
      </c>
      <c r="J103" s="13">
        <f t="shared" si="21"/>
        <v>16.951235840000002</v>
      </c>
      <c r="K103" s="18">
        <f t="shared" si="21"/>
        <v>19.786235840000003</v>
      </c>
      <c r="L103" s="121"/>
    </row>
    <row r="104" spans="2:12" ht="15.75" customHeight="1" thickBot="1" x14ac:dyDescent="0.25">
      <c r="B104" s="33" t="s">
        <v>100</v>
      </c>
      <c r="C104" s="19">
        <f>3.5+0.75*$E39+0.75*B$60+0.75*$G$52</f>
        <v>13.567742719999998</v>
      </c>
      <c r="D104" s="20">
        <f t="shared" ref="D104:K104" si="22">3.5+0.75*$E39+0.75*C$60+0.75*$G$52</f>
        <v>19.23774272</v>
      </c>
      <c r="E104" s="20">
        <f t="shared" si="22"/>
        <v>22.072742719999997</v>
      </c>
      <c r="F104" s="20">
        <f t="shared" si="22"/>
        <v>24.907742719999998</v>
      </c>
      <c r="G104" s="20">
        <f t="shared" si="22"/>
        <v>27.742742719999995</v>
      </c>
      <c r="H104" s="20">
        <f t="shared" si="22"/>
        <v>30.577742719999996</v>
      </c>
      <c r="I104" s="20">
        <f t="shared" si="22"/>
        <v>33.412742719999997</v>
      </c>
      <c r="J104" s="20">
        <f t="shared" si="22"/>
        <v>36.247742719999998</v>
      </c>
      <c r="K104" s="21">
        <f t="shared" si="22"/>
        <v>39.082742719999999</v>
      </c>
      <c r="L104" s="121"/>
    </row>
    <row r="105" spans="2:12" ht="15.75" customHeight="1" x14ac:dyDescent="0.2">
      <c r="B105" s="121"/>
      <c r="C105" s="121"/>
      <c r="D105" s="121"/>
      <c r="E105" s="121"/>
      <c r="F105" s="121"/>
      <c r="G105" s="121"/>
      <c r="H105" s="121"/>
      <c r="I105" s="121"/>
      <c r="J105" s="121"/>
      <c r="K105" s="121"/>
      <c r="L105" s="121"/>
    </row>
    <row r="106" spans="2:12" ht="15.75" customHeight="1" x14ac:dyDescent="0.2">
      <c r="B106" s="121"/>
      <c r="C106" s="121"/>
      <c r="D106" s="121"/>
      <c r="E106" s="121"/>
      <c r="F106" s="121"/>
      <c r="G106" s="121"/>
      <c r="H106" s="121"/>
      <c r="I106" s="121"/>
      <c r="J106" s="121"/>
      <c r="K106" s="121"/>
      <c r="L106" s="121"/>
    </row>
    <row r="107" spans="2:12" ht="15.75" customHeight="1" thickBot="1" x14ac:dyDescent="0.25">
      <c r="B107" s="229" t="s">
        <v>130</v>
      </c>
      <c r="C107" s="229"/>
      <c r="D107" s="229"/>
      <c r="E107" s="229"/>
      <c r="F107" s="229"/>
      <c r="G107" s="229"/>
      <c r="H107" s="229"/>
      <c r="I107" s="229"/>
      <c r="J107" s="229"/>
      <c r="K107" s="229"/>
      <c r="L107" s="121"/>
    </row>
    <row r="108" spans="2:12" ht="15.75" customHeight="1" x14ac:dyDescent="0.2">
      <c r="B108" s="224" t="s">
        <v>88</v>
      </c>
      <c r="C108" s="226" t="s">
        <v>127</v>
      </c>
      <c r="D108" s="227"/>
      <c r="E108" s="227"/>
      <c r="F108" s="227"/>
      <c r="G108" s="227"/>
      <c r="H108" s="227"/>
      <c r="I108" s="227"/>
      <c r="J108" s="227"/>
      <c r="K108" s="228"/>
      <c r="L108" s="121"/>
    </row>
    <row r="109" spans="2:12" ht="15.75" customHeight="1" thickBot="1" x14ac:dyDescent="0.25">
      <c r="B109" s="225"/>
      <c r="C109" s="34">
        <v>0</v>
      </c>
      <c r="D109" s="35">
        <v>10</v>
      </c>
      <c r="E109" s="35">
        <v>15</v>
      </c>
      <c r="F109" s="35">
        <v>20</v>
      </c>
      <c r="G109" s="35">
        <v>25</v>
      </c>
      <c r="H109" s="35">
        <v>30</v>
      </c>
      <c r="I109" s="35">
        <v>35</v>
      </c>
      <c r="J109" s="35">
        <v>40</v>
      </c>
      <c r="K109" s="36">
        <v>45</v>
      </c>
      <c r="L109" s="121"/>
    </row>
    <row r="110" spans="2:12" ht="15.75" customHeight="1" x14ac:dyDescent="0.2">
      <c r="B110" s="31" t="s">
        <v>91</v>
      </c>
      <c r="C110" s="14">
        <f>3.5+0.75*$F32+0.75*B$60+0.75*$G$52</f>
        <v>-7.3309801599999993</v>
      </c>
      <c r="D110" s="15">
        <f t="shared" ref="D110:K110" si="23">3.5+0.75*$F32+0.75*C$60+0.75*$G$52</f>
        <v>-1.6609801599999994</v>
      </c>
      <c r="E110" s="15">
        <f t="shared" si="23"/>
        <v>1.1740198399999997</v>
      </c>
      <c r="F110" s="15">
        <f t="shared" si="23"/>
        <v>4.0090198400000006</v>
      </c>
      <c r="G110" s="15">
        <f t="shared" si="23"/>
        <v>6.8440198399999996</v>
      </c>
      <c r="H110" s="15">
        <f t="shared" si="23"/>
        <v>9.6790198399999987</v>
      </c>
      <c r="I110" s="15">
        <f t="shared" si="23"/>
        <v>12.51401984</v>
      </c>
      <c r="J110" s="15">
        <f t="shared" si="23"/>
        <v>15.34901984</v>
      </c>
      <c r="K110" s="16">
        <f t="shared" si="23"/>
        <v>18.184019840000001</v>
      </c>
      <c r="L110" s="121"/>
    </row>
    <row r="111" spans="2:12" ht="15.75" customHeight="1" x14ac:dyDescent="0.2">
      <c r="B111" s="32" t="s">
        <v>92</v>
      </c>
      <c r="C111" s="17">
        <f t="shared" ref="C111:K115" si="24">3.5+0.75*$F33+0.75*B$60+0.75*$G$52</f>
        <v>15.315614719999996</v>
      </c>
      <c r="D111" s="13">
        <f t="shared" si="24"/>
        <v>20.985614719999994</v>
      </c>
      <c r="E111" s="13">
        <f t="shared" si="24"/>
        <v>23.820614719999995</v>
      </c>
      <c r="F111" s="13">
        <f t="shared" si="24"/>
        <v>26.655614719999996</v>
      </c>
      <c r="G111" s="13">
        <f t="shared" si="24"/>
        <v>29.490614719999996</v>
      </c>
      <c r="H111" s="13">
        <f t="shared" si="24"/>
        <v>32.32561471999999</v>
      </c>
      <c r="I111" s="13">
        <f t="shared" si="24"/>
        <v>35.160614719999998</v>
      </c>
      <c r="J111" s="13">
        <f t="shared" si="24"/>
        <v>37.995614719999992</v>
      </c>
      <c r="K111" s="18">
        <f t="shared" si="24"/>
        <v>40.83061472</v>
      </c>
      <c r="L111" s="121"/>
    </row>
    <row r="112" spans="2:12" ht="15.75" customHeight="1" x14ac:dyDescent="0.2">
      <c r="B112" s="32" t="s">
        <v>93</v>
      </c>
      <c r="C112" s="17">
        <f t="shared" si="24"/>
        <v>-7.3309801599999993</v>
      </c>
      <c r="D112" s="13">
        <f t="shared" si="24"/>
        <v>-1.6609801599999994</v>
      </c>
      <c r="E112" s="13">
        <f t="shared" si="24"/>
        <v>1.1740198399999997</v>
      </c>
      <c r="F112" s="13">
        <f t="shared" si="24"/>
        <v>4.0090198400000006</v>
      </c>
      <c r="G112" s="13">
        <f t="shared" si="24"/>
        <v>6.8440198399999996</v>
      </c>
      <c r="H112" s="13">
        <f t="shared" si="24"/>
        <v>9.6790198399999987</v>
      </c>
      <c r="I112" s="13">
        <f t="shared" si="24"/>
        <v>12.51401984</v>
      </c>
      <c r="J112" s="13">
        <f t="shared" si="24"/>
        <v>15.34901984</v>
      </c>
      <c r="K112" s="18">
        <f t="shared" si="24"/>
        <v>18.184019840000001</v>
      </c>
      <c r="L112" s="121"/>
    </row>
    <row r="113" spans="2:12" ht="15.75" customHeight="1" x14ac:dyDescent="0.2">
      <c r="B113" s="32" t="s">
        <v>95</v>
      </c>
      <c r="C113" s="17">
        <f t="shared" si="24"/>
        <v>15.315614719999996</v>
      </c>
      <c r="D113" s="13">
        <f t="shared" si="24"/>
        <v>20.985614719999994</v>
      </c>
      <c r="E113" s="13">
        <f t="shared" si="24"/>
        <v>23.820614719999995</v>
      </c>
      <c r="F113" s="13">
        <f t="shared" si="24"/>
        <v>26.655614719999996</v>
      </c>
      <c r="G113" s="13">
        <f t="shared" si="24"/>
        <v>29.490614719999996</v>
      </c>
      <c r="H113" s="13">
        <f t="shared" si="24"/>
        <v>32.32561471999999</v>
      </c>
      <c r="I113" s="13">
        <f t="shared" si="24"/>
        <v>35.160614719999998</v>
      </c>
      <c r="J113" s="13">
        <f t="shared" si="24"/>
        <v>37.995614719999992</v>
      </c>
      <c r="K113" s="18">
        <f t="shared" si="24"/>
        <v>40.83061472</v>
      </c>
      <c r="L113" s="121"/>
    </row>
    <row r="114" spans="2:12" ht="15.75" customHeight="1" x14ac:dyDescent="0.2">
      <c r="B114" s="32" t="s">
        <v>97</v>
      </c>
      <c r="C114" s="17">
        <f t="shared" si="24"/>
        <v>-7.3309801599999993</v>
      </c>
      <c r="D114" s="13">
        <f t="shared" si="24"/>
        <v>-1.6609801599999994</v>
      </c>
      <c r="E114" s="13">
        <f t="shared" si="24"/>
        <v>1.1740198399999997</v>
      </c>
      <c r="F114" s="13">
        <f t="shared" si="24"/>
        <v>4.0090198400000006</v>
      </c>
      <c r="G114" s="13">
        <f t="shared" si="24"/>
        <v>6.8440198399999996</v>
      </c>
      <c r="H114" s="13">
        <f t="shared" si="24"/>
        <v>9.6790198399999987</v>
      </c>
      <c r="I114" s="13">
        <f t="shared" si="24"/>
        <v>12.51401984</v>
      </c>
      <c r="J114" s="13">
        <f t="shared" si="24"/>
        <v>15.34901984</v>
      </c>
      <c r="K114" s="18">
        <f t="shared" si="24"/>
        <v>18.184019840000001</v>
      </c>
      <c r="L114" s="121"/>
    </row>
    <row r="115" spans="2:12" ht="15.75" customHeight="1" x14ac:dyDescent="0.2">
      <c r="B115" s="32" t="s">
        <v>98</v>
      </c>
      <c r="C115" s="17">
        <f t="shared" si="24"/>
        <v>15.315614719999996</v>
      </c>
      <c r="D115" s="13">
        <f t="shared" si="24"/>
        <v>20.985614719999994</v>
      </c>
      <c r="E115" s="13">
        <f t="shared" si="24"/>
        <v>23.820614719999995</v>
      </c>
      <c r="F115" s="13">
        <f t="shared" si="24"/>
        <v>26.655614719999996</v>
      </c>
      <c r="G115" s="13">
        <f t="shared" si="24"/>
        <v>29.490614719999996</v>
      </c>
      <c r="H115" s="13">
        <f t="shared" si="24"/>
        <v>32.32561471999999</v>
      </c>
      <c r="I115" s="13">
        <f t="shared" si="24"/>
        <v>35.160614719999998</v>
      </c>
      <c r="J115" s="13">
        <f t="shared" si="24"/>
        <v>37.995614719999992</v>
      </c>
      <c r="K115" s="18">
        <f t="shared" si="24"/>
        <v>40.83061472</v>
      </c>
      <c r="L115" s="121"/>
    </row>
    <row r="116" spans="2:12" ht="15.75" customHeight="1" x14ac:dyDescent="0.2">
      <c r="B116" s="32" t="s">
        <v>99</v>
      </c>
      <c r="C116" s="17">
        <f>3.5+0.75*$F38+0.75*B$60+0.75*$G$52</f>
        <v>-7.3309801599999993</v>
      </c>
      <c r="D116" s="13">
        <f t="shared" ref="D116:K116" si="25">3.5+0.75*$F38+0.75*C$60+0.75*$G$52</f>
        <v>-1.6609801599999994</v>
      </c>
      <c r="E116" s="13">
        <f t="shared" si="25"/>
        <v>1.1740198399999997</v>
      </c>
      <c r="F116" s="13">
        <f t="shared" si="25"/>
        <v>4.0090198400000006</v>
      </c>
      <c r="G116" s="13">
        <f t="shared" si="25"/>
        <v>6.8440198399999996</v>
      </c>
      <c r="H116" s="13">
        <f t="shared" si="25"/>
        <v>9.6790198399999987</v>
      </c>
      <c r="I116" s="13">
        <f t="shared" si="25"/>
        <v>12.51401984</v>
      </c>
      <c r="J116" s="13">
        <f t="shared" si="25"/>
        <v>15.34901984</v>
      </c>
      <c r="K116" s="18">
        <f t="shared" si="25"/>
        <v>18.184019840000001</v>
      </c>
      <c r="L116" s="121"/>
    </row>
    <row r="117" spans="2:12" ht="15.75" customHeight="1" thickBot="1" x14ac:dyDescent="0.25">
      <c r="B117" s="33" t="s">
        <v>100</v>
      </c>
      <c r="C117" s="19">
        <f>3.5+0.75*$F39+0.75*B$60+0.75*$G$52</f>
        <v>15.315614719999996</v>
      </c>
      <c r="D117" s="20">
        <f t="shared" ref="D117:K117" si="26">3.5+0.75*$F39+0.75*C$60+0.75*$G$52</f>
        <v>20.985614719999994</v>
      </c>
      <c r="E117" s="20">
        <f t="shared" si="26"/>
        <v>23.820614719999995</v>
      </c>
      <c r="F117" s="20">
        <f t="shared" si="26"/>
        <v>26.655614719999996</v>
      </c>
      <c r="G117" s="20">
        <f t="shared" si="26"/>
        <v>29.490614719999996</v>
      </c>
      <c r="H117" s="20">
        <f t="shared" si="26"/>
        <v>32.32561471999999</v>
      </c>
      <c r="I117" s="20">
        <f t="shared" si="26"/>
        <v>35.160614719999998</v>
      </c>
      <c r="J117" s="20">
        <f t="shared" si="26"/>
        <v>37.995614719999992</v>
      </c>
      <c r="K117" s="21">
        <f t="shared" si="26"/>
        <v>40.83061472</v>
      </c>
      <c r="L117" s="121"/>
    </row>
    <row r="118" spans="2:12" ht="15.75" customHeight="1" x14ac:dyDescent="0.2">
      <c r="B118" s="121"/>
      <c r="C118" s="121"/>
      <c r="D118" s="121"/>
      <c r="E118" s="121"/>
      <c r="F118" s="121"/>
      <c r="G118" s="121"/>
      <c r="H118" s="121"/>
      <c r="I118" s="121"/>
      <c r="J118" s="121"/>
      <c r="K118" s="121"/>
      <c r="L118" s="121"/>
    </row>
    <row r="119" spans="2:12" ht="15.75" customHeight="1" x14ac:dyDescent="0.2">
      <c r="B119" s="121"/>
      <c r="C119" s="121"/>
      <c r="D119" s="121"/>
      <c r="E119" s="121"/>
      <c r="F119" s="121"/>
      <c r="G119" s="121"/>
      <c r="H119" s="121"/>
      <c r="I119" s="121"/>
      <c r="J119" s="121"/>
      <c r="K119" s="121"/>
      <c r="L119" s="121"/>
    </row>
    <row r="120" spans="2:12" ht="15.75" customHeight="1" thickBot="1" x14ac:dyDescent="0.25">
      <c r="B120" s="229" t="s">
        <v>131</v>
      </c>
      <c r="C120" s="229"/>
      <c r="D120" s="229"/>
      <c r="E120" s="229"/>
      <c r="F120" s="229"/>
      <c r="G120" s="229"/>
      <c r="H120" s="229"/>
      <c r="I120" s="229"/>
      <c r="J120" s="229"/>
      <c r="K120" s="229"/>
      <c r="L120" s="121"/>
    </row>
    <row r="121" spans="2:12" ht="15.75" customHeight="1" x14ac:dyDescent="0.2">
      <c r="B121" s="224" t="s">
        <v>88</v>
      </c>
      <c r="C121" s="226" t="s">
        <v>127</v>
      </c>
      <c r="D121" s="227"/>
      <c r="E121" s="227"/>
      <c r="F121" s="227"/>
      <c r="G121" s="227"/>
      <c r="H121" s="227"/>
      <c r="I121" s="227"/>
      <c r="J121" s="227"/>
      <c r="K121" s="228"/>
      <c r="L121" s="121"/>
    </row>
    <row r="122" spans="2:12" ht="15.75" customHeight="1" thickBot="1" x14ac:dyDescent="0.25">
      <c r="B122" s="225"/>
      <c r="C122" s="34">
        <v>0</v>
      </c>
      <c r="D122" s="35">
        <v>10</v>
      </c>
      <c r="E122" s="35">
        <v>15</v>
      </c>
      <c r="F122" s="35">
        <v>20</v>
      </c>
      <c r="G122" s="35">
        <v>25</v>
      </c>
      <c r="H122" s="35">
        <v>30</v>
      </c>
      <c r="I122" s="35">
        <v>35</v>
      </c>
      <c r="J122" s="35">
        <v>40</v>
      </c>
      <c r="K122" s="36">
        <v>45</v>
      </c>
      <c r="L122" s="121"/>
    </row>
    <row r="123" spans="2:12" ht="15.75" customHeight="1" x14ac:dyDescent="0.2">
      <c r="B123" s="31" t="s">
        <v>91</v>
      </c>
      <c r="C123" s="14">
        <f>3.5+0.75*$G32+0.75*B$60+0.75*$G$52</f>
        <v>-9.0613734399999988</v>
      </c>
      <c r="D123" s="15">
        <f t="shared" ref="D123:K123" si="27">3.5+0.75*$G32+0.75*C$60+0.75*$G$52</f>
        <v>-3.3913734399999989</v>
      </c>
      <c r="E123" s="15">
        <f t="shared" si="27"/>
        <v>-0.55637343999999977</v>
      </c>
      <c r="F123" s="15">
        <f t="shared" si="27"/>
        <v>2.2786265600000011</v>
      </c>
      <c r="G123" s="15">
        <f t="shared" si="27"/>
        <v>5.1136265600000002</v>
      </c>
      <c r="H123" s="15">
        <f t="shared" si="27"/>
        <v>7.9486265599999992</v>
      </c>
      <c r="I123" s="15">
        <f t="shared" si="27"/>
        <v>10.78362656</v>
      </c>
      <c r="J123" s="15">
        <f t="shared" si="27"/>
        <v>13.618626560000001</v>
      </c>
      <c r="K123" s="16">
        <f t="shared" si="27"/>
        <v>16.453626560000004</v>
      </c>
      <c r="L123" s="121"/>
    </row>
    <row r="124" spans="2:12" ht="15.75" customHeight="1" x14ac:dyDescent="0.2">
      <c r="B124" s="32" t="s">
        <v>92</v>
      </c>
      <c r="C124" s="17">
        <f t="shared" ref="C124:K128" si="28">3.5+0.75*$G33+0.75*B$60+0.75*$G$52</f>
        <v>17.203316479999998</v>
      </c>
      <c r="D124" s="13">
        <f t="shared" si="28"/>
        <v>22.87331648</v>
      </c>
      <c r="E124" s="13">
        <f t="shared" si="28"/>
        <v>25.708316479999997</v>
      </c>
      <c r="F124" s="13">
        <f t="shared" si="28"/>
        <v>28.543316479999998</v>
      </c>
      <c r="G124" s="13">
        <f t="shared" si="28"/>
        <v>31.378316479999995</v>
      </c>
      <c r="H124" s="13">
        <f t="shared" si="28"/>
        <v>34.213316479999996</v>
      </c>
      <c r="I124" s="13">
        <f t="shared" si="28"/>
        <v>37.048316479999997</v>
      </c>
      <c r="J124" s="13">
        <f t="shared" si="28"/>
        <v>39.883316479999998</v>
      </c>
      <c r="K124" s="18">
        <f t="shared" si="28"/>
        <v>42.718316479999999</v>
      </c>
      <c r="L124" s="121"/>
    </row>
    <row r="125" spans="2:12" ht="15.75" customHeight="1" x14ac:dyDescent="0.2">
      <c r="B125" s="32" t="s">
        <v>93</v>
      </c>
      <c r="C125" s="17">
        <f t="shared" si="28"/>
        <v>-9.0613734399999988</v>
      </c>
      <c r="D125" s="13">
        <f t="shared" si="28"/>
        <v>-3.3913734399999989</v>
      </c>
      <c r="E125" s="13">
        <f t="shared" si="28"/>
        <v>-0.55637343999999977</v>
      </c>
      <c r="F125" s="13">
        <f t="shared" si="28"/>
        <v>2.2786265600000011</v>
      </c>
      <c r="G125" s="13">
        <f t="shared" si="28"/>
        <v>5.1136265600000002</v>
      </c>
      <c r="H125" s="13">
        <f t="shared" si="28"/>
        <v>7.9486265599999992</v>
      </c>
      <c r="I125" s="13">
        <f t="shared" si="28"/>
        <v>10.78362656</v>
      </c>
      <c r="J125" s="13">
        <f t="shared" si="28"/>
        <v>13.618626560000001</v>
      </c>
      <c r="K125" s="18">
        <f t="shared" si="28"/>
        <v>16.453626560000004</v>
      </c>
      <c r="L125" s="121"/>
    </row>
    <row r="126" spans="2:12" ht="15.75" customHeight="1" x14ac:dyDescent="0.2">
      <c r="B126" s="32" t="s">
        <v>95</v>
      </c>
      <c r="C126" s="17">
        <f t="shared" si="28"/>
        <v>17.203316479999998</v>
      </c>
      <c r="D126" s="13">
        <f t="shared" si="28"/>
        <v>22.87331648</v>
      </c>
      <c r="E126" s="13">
        <f t="shared" si="28"/>
        <v>25.708316479999997</v>
      </c>
      <c r="F126" s="13">
        <f t="shared" si="28"/>
        <v>28.543316479999998</v>
      </c>
      <c r="G126" s="13">
        <f t="shared" si="28"/>
        <v>31.378316479999995</v>
      </c>
      <c r="H126" s="13">
        <f t="shared" si="28"/>
        <v>34.213316479999996</v>
      </c>
      <c r="I126" s="13">
        <f t="shared" si="28"/>
        <v>37.048316479999997</v>
      </c>
      <c r="J126" s="13">
        <f t="shared" si="28"/>
        <v>39.883316479999998</v>
      </c>
      <c r="K126" s="18">
        <f t="shared" si="28"/>
        <v>42.718316479999999</v>
      </c>
      <c r="L126" s="121"/>
    </row>
    <row r="127" spans="2:12" ht="15.75" customHeight="1" x14ac:dyDescent="0.2">
      <c r="B127" s="32" t="s">
        <v>97</v>
      </c>
      <c r="C127" s="17">
        <f t="shared" si="28"/>
        <v>-9.0613734399999988</v>
      </c>
      <c r="D127" s="13">
        <f t="shared" si="28"/>
        <v>-3.3913734399999989</v>
      </c>
      <c r="E127" s="13">
        <f t="shared" si="28"/>
        <v>-0.55637343999999977</v>
      </c>
      <c r="F127" s="13">
        <f t="shared" si="28"/>
        <v>2.2786265600000011</v>
      </c>
      <c r="G127" s="13">
        <f t="shared" si="28"/>
        <v>5.1136265600000002</v>
      </c>
      <c r="H127" s="13">
        <f t="shared" si="28"/>
        <v>7.9486265599999992</v>
      </c>
      <c r="I127" s="13">
        <f t="shared" si="28"/>
        <v>10.78362656</v>
      </c>
      <c r="J127" s="13">
        <f t="shared" si="28"/>
        <v>13.618626560000001</v>
      </c>
      <c r="K127" s="18">
        <f t="shared" si="28"/>
        <v>16.453626560000004</v>
      </c>
      <c r="L127" s="121"/>
    </row>
    <row r="128" spans="2:12" ht="15.75" customHeight="1" x14ac:dyDescent="0.2">
      <c r="B128" s="32" t="s">
        <v>98</v>
      </c>
      <c r="C128" s="17">
        <f t="shared" si="28"/>
        <v>17.203316479999998</v>
      </c>
      <c r="D128" s="13">
        <f t="shared" si="28"/>
        <v>22.87331648</v>
      </c>
      <c r="E128" s="13">
        <f t="shared" si="28"/>
        <v>25.708316479999997</v>
      </c>
      <c r="F128" s="13">
        <f t="shared" si="28"/>
        <v>28.543316479999998</v>
      </c>
      <c r="G128" s="13">
        <f t="shared" si="28"/>
        <v>31.378316479999995</v>
      </c>
      <c r="H128" s="13">
        <f t="shared" si="28"/>
        <v>34.213316479999996</v>
      </c>
      <c r="I128" s="13">
        <f t="shared" si="28"/>
        <v>37.048316479999997</v>
      </c>
      <c r="J128" s="13">
        <f t="shared" si="28"/>
        <v>39.883316479999998</v>
      </c>
      <c r="K128" s="18">
        <f t="shared" si="28"/>
        <v>42.718316479999999</v>
      </c>
      <c r="L128" s="121"/>
    </row>
    <row r="129" spans="1:12" ht="15.75" customHeight="1" x14ac:dyDescent="0.2">
      <c r="B129" s="32" t="s">
        <v>99</v>
      </c>
      <c r="C129" s="17">
        <f>3.5+0.75*$G38+0.75*B$60+0.75*$G$52</f>
        <v>-9.0613734399999988</v>
      </c>
      <c r="D129" s="13">
        <f t="shared" ref="D129:K129" si="29">3.5+0.75*$G38+0.75*C$60+0.75*$G$52</f>
        <v>-3.3913734399999989</v>
      </c>
      <c r="E129" s="13">
        <f t="shared" si="29"/>
        <v>-0.55637343999999977</v>
      </c>
      <c r="F129" s="13">
        <f t="shared" si="29"/>
        <v>2.2786265600000011</v>
      </c>
      <c r="G129" s="13">
        <f t="shared" si="29"/>
        <v>5.1136265600000002</v>
      </c>
      <c r="H129" s="13">
        <f t="shared" si="29"/>
        <v>7.9486265599999992</v>
      </c>
      <c r="I129" s="13">
        <f t="shared" si="29"/>
        <v>10.78362656</v>
      </c>
      <c r="J129" s="13">
        <f t="shared" si="29"/>
        <v>13.618626560000001</v>
      </c>
      <c r="K129" s="18">
        <f t="shared" si="29"/>
        <v>16.453626560000004</v>
      </c>
      <c r="L129" s="121"/>
    </row>
    <row r="130" spans="1:12" ht="15.75" customHeight="1" thickBot="1" x14ac:dyDescent="0.25">
      <c r="B130" s="33" t="s">
        <v>100</v>
      </c>
      <c r="C130" s="19">
        <f>3.5+0.75*$G39+0.75*B$60+0.75*$G$52</f>
        <v>17.203316479999998</v>
      </c>
      <c r="D130" s="20">
        <f t="shared" ref="D130:K130" si="30">3.5+0.75*$G39+0.75*C$60+0.75*$G$52</f>
        <v>22.87331648</v>
      </c>
      <c r="E130" s="20">
        <f t="shared" si="30"/>
        <v>25.708316479999997</v>
      </c>
      <c r="F130" s="20">
        <f t="shared" si="30"/>
        <v>28.543316479999998</v>
      </c>
      <c r="G130" s="20">
        <f t="shared" si="30"/>
        <v>31.378316479999995</v>
      </c>
      <c r="H130" s="20">
        <f t="shared" si="30"/>
        <v>34.213316479999996</v>
      </c>
      <c r="I130" s="20">
        <f t="shared" si="30"/>
        <v>37.048316479999997</v>
      </c>
      <c r="J130" s="20">
        <f t="shared" si="30"/>
        <v>39.883316479999998</v>
      </c>
      <c r="K130" s="21">
        <f t="shared" si="30"/>
        <v>42.718316479999999</v>
      </c>
      <c r="L130" s="121"/>
    </row>
    <row r="131" spans="1:12" ht="15.75" customHeight="1" x14ac:dyDescent="0.2">
      <c r="B131" s="121"/>
      <c r="C131" s="121"/>
      <c r="D131" s="121"/>
      <c r="E131" s="121"/>
      <c r="F131" s="121"/>
      <c r="G131" s="121"/>
      <c r="H131" s="121"/>
      <c r="I131" s="121"/>
      <c r="J131" s="121"/>
      <c r="K131" s="121"/>
      <c r="L131" s="121"/>
    </row>
    <row r="132" spans="1:12" ht="15.75" customHeight="1" x14ac:dyDescent="0.2">
      <c r="B132" s="121"/>
      <c r="C132" s="121"/>
      <c r="D132" s="121"/>
      <c r="E132" s="121"/>
      <c r="F132" s="121"/>
      <c r="G132" s="121"/>
      <c r="H132" s="121"/>
      <c r="I132" s="121"/>
      <c r="J132" s="121"/>
      <c r="K132" s="121"/>
      <c r="L132" s="121"/>
    </row>
    <row r="133" spans="1:12" ht="15.75" customHeight="1" x14ac:dyDescent="0.2">
      <c r="B133" s="121"/>
      <c r="C133" s="121"/>
      <c r="D133" s="121"/>
      <c r="E133" s="121"/>
      <c r="F133" s="121"/>
      <c r="G133" s="121"/>
      <c r="H133" s="121"/>
      <c r="I133" s="121"/>
      <c r="J133" s="121"/>
      <c r="K133" s="121"/>
      <c r="L133" s="121"/>
    </row>
    <row r="134" spans="1:12" ht="15.75" customHeight="1" x14ac:dyDescent="0.2">
      <c r="A134" s="37"/>
      <c r="B134" s="120"/>
      <c r="C134" s="120"/>
      <c r="D134" s="120"/>
      <c r="E134" s="120"/>
      <c r="F134" s="120"/>
      <c r="G134" s="120"/>
      <c r="H134" s="120"/>
      <c r="I134" s="120"/>
      <c r="J134" s="120"/>
      <c r="K134" s="120"/>
      <c r="L134" s="120"/>
    </row>
    <row r="135" spans="1:12" ht="15.75" customHeight="1" x14ac:dyDescent="0.2">
      <c r="A135" s="37"/>
      <c r="B135" s="120"/>
      <c r="C135" s="120"/>
      <c r="D135" s="120"/>
      <c r="E135" s="120"/>
      <c r="F135" s="120"/>
      <c r="G135" s="120"/>
      <c r="H135" s="120"/>
      <c r="I135" s="120"/>
      <c r="J135" s="120"/>
      <c r="K135" s="120"/>
      <c r="L135" s="120"/>
    </row>
    <row r="136" spans="1:12" ht="15.75" customHeight="1" x14ac:dyDescent="0.2">
      <c r="A136" s="37"/>
      <c r="B136" s="120"/>
      <c r="C136" s="120"/>
      <c r="D136" s="120"/>
      <c r="E136" s="120"/>
      <c r="F136" s="120"/>
      <c r="G136" s="120"/>
      <c r="H136" s="120"/>
      <c r="I136" s="120"/>
      <c r="J136" s="120"/>
      <c r="K136" s="120"/>
      <c r="L136" s="120"/>
    </row>
    <row r="137" spans="1:12" ht="15.75" customHeight="1" x14ac:dyDescent="0.2">
      <c r="A137" s="37"/>
      <c r="B137" s="120"/>
      <c r="C137" s="120"/>
      <c r="D137" s="120"/>
      <c r="E137" s="120"/>
      <c r="F137" s="120"/>
      <c r="G137" s="120"/>
      <c r="H137" s="120"/>
      <c r="I137" s="120"/>
      <c r="J137" s="120"/>
      <c r="K137" s="120"/>
      <c r="L137" s="120"/>
    </row>
    <row r="138" spans="1:12" ht="15.75" customHeight="1" x14ac:dyDescent="0.2">
      <c r="A138" s="37"/>
      <c r="B138" s="120"/>
      <c r="C138" s="120"/>
      <c r="D138" s="120"/>
      <c r="E138" s="120"/>
      <c r="F138" s="120"/>
      <c r="G138" s="120"/>
      <c r="H138" s="120"/>
      <c r="I138" s="120"/>
      <c r="J138" s="120"/>
      <c r="K138" s="120"/>
      <c r="L138" s="120"/>
    </row>
    <row r="139" spans="1:12" ht="15.75" customHeight="1" x14ac:dyDescent="0.2">
      <c r="A139" s="37"/>
      <c r="B139" s="120"/>
      <c r="C139" s="120"/>
      <c r="D139" s="120"/>
      <c r="E139" s="120"/>
      <c r="F139" s="120"/>
      <c r="G139" s="120"/>
      <c r="H139" s="120"/>
      <c r="I139" s="120"/>
      <c r="J139" s="120"/>
      <c r="K139" s="120"/>
      <c r="L139" s="120"/>
    </row>
    <row r="140" spans="1:12" ht="15.75" customHeight="1" x14ac:dyDescent="0.2">
      <c r="A140" s="37"/>
      <c r="B140" s="120"/>
      <c r="C140" s="120"/>
      <c r="D140" s="120"/>
      <c r="E140" s="120"/>
      <c r="F140" s="120"/>
      <c r="G140" s="120"/>
      <c r="H140" s="120"/>
      <c r="I140" s="120"/>
      <c r="J140" s="120"/>
      <c r="K140" s="120"/>
      <c r="L140" s="120"/>
    </row>
    <row r="141" spans="1:12" ht="15.75" customHeight="1" x14ac:dyDescent="0.2">
      <c r="A141" s="37"/>
      <c r="B141" s="120"/>
      <c r="C141" s="120"/>
      <c r="D141" s="120"/>
      <c r="E141" s="120"/>
      <c r="F141" s="120"/>
      <c r="G141" s="120"/>
      <c r="H141" s="120"/>
      <c r="I141" s="120"/>
      <c r="J141" s="120"/>
      <c r="K141" s="120"/>
      <c r="L141" s="120"/>
    </row>
    <row r="142" spans="1:12" ht="15.75" customHeight="1" x14ac:dyDescent="0.2">
      <c r="A142" s="37"/>
      <c r="B142" s="120"/>
      <c r="C142" s="120"/>
      <c r="D142" s="120"/>
      <c r="E142" s="120"/>
      <c r="F142" s="120"/>
      <c r="G142" s="120"/>
      <c r="H142" s="120"/>
      <c r="I142" s="120"/>
      <c r="J142" s="120"/>
      <c r="K142" s="120"/>
      <c r="L142" s="120"/>
    </row>
    <row r="143" spans="1:12" ht="15.75" customHeight="1" x14ac:dyDescent="0.2">
      <c r="A143" s="37"/>
      <c r="B143" s="120"/>
      <c r="C143" s="120"/>
      <c r="D143" s="120"/>
      <c r="E143" s="120"/>
      <c r="F143" s="120"/>
      <c r="G143" s="120"/>
      <c r="H143" s="120"/>
      <c r="I143" s="120"/>
      <c r="J143" s="120"/>
      <c r="K143" s="120"/>
      <c r="L143" s="120"/>
    </row>
    <row r="144" spans="1:12" ht="15.75" customHeight="1" x14ac:dyDescent="0.2">
      <c r="A144" s="37"/>
      <c r="B144" s="120"/>
      <c r="C144" s="120"/>
      <c r="D144" s="120"/>
      <c r="E144" s="120"/>
      <c r="F144" s="120"/>
      <c r="G144" s="120"/>
      <c r="H144" s="120"/>
      <c r="I144" s="120"/>
      <c r="J144" s="120"/>
      <c r="K144" s="120"/>
      <c r="L144" s="120"/>
    </row>
    <row r="145" spans="1:12" ht="15.75" customHeight="1" x14ac:dyDescent="0.2">
      <c r="A145" s="37"/>
      <c r="B145" s="120"/>
      <c r="C145" s="120"/>
      <c r="D145" s="120"/>
      <c r="E145" s="120"/>
      <c r="F145" s="120"/>
      <c r="G145" s="120"/>
      <c r="H145" s="120"/>
      <c r="I145" s="120"/>
      <c r="J145" s="120"/>
      <c r="K145" s="120"/>
      <c r="L145" s="120"/>
    </row>
    <row r="146" spans="1:12" ht="15.75" customHeight="1" x14ac:dyDescent="0.2">
      <c r="A146" s="37"/>
      <c r="B146" s="120"/>
      <c r="C146" s="120"/>
      <c r="D146" s="120"/>
      <c r="E146" s="120"/>
      <c r="F146" s="120"/>
      <c r="G146" s="120"/>
      <c r="H146" s="120"/>
      <c r="I146" s="120"/>
      <c r="J146" s="120"/>
      <c r="K146" s="120"/>
      <c r="L146" s="120"/>
    </row>
    <row r="147" spans="1:12" ht="15.75" customHeight="1" x14ac:dyDescent="0.2">
      <c r="A147" s="37"/>
      <c r="B147" s="120"/>
      <c r="C147" s="120"/>
      <c r="D147" s="120"/>
      <c r="E147" s="120"/>
      <c r="F147" s="120"/>
      <c r="G147" s="120"/>
      <c r="H147" s="120"/>
      <c r="I147" s="120"/>
      <c r="J147" s="120"/>
      <c r="K147" s="120"/>
      <c r="L147" s="120"/>
    </row>
    <row r="148" spans="1:12" ht="15.75" customHeight="1" x14ac:dyDescent="0.2">
      <c r="A148" s="37"/>
      <c r="B148" s="120"/>
      <c r="C148" s="120"/>
      <c r="D148" s="120"/>
      <c r="E148" s="120"/>
      <c r="F148" s="120"/>
      <c r="G148" s="120"/>
      <c r="H148" s="120"/>
      <c r="I148" s="120"/>
      <c r="J148" s="120"/>
      <c r="K148" s="120"/>
      <c r="L148" s="120"/>
    </row>
    <row r="149" spans="1:12" ht="15.75" customHeight="1" x14ac:dyDescent="0.2">
      <c r="A149" s="37"/>
      <c r="B149" s="120"/>
      <c r="C149" s="120"/>
      <c r="D149" s="120"/>
      <c r="E149" s="120"/>
      <c r="F149" s="120"/>
      <c r="G149" s="120"/>
      <c r="H149" s="120"/>
      <c r="I149" s="120"/>
      <c r="J149" s="120"/>
      <c r="K149" s="120"/>
      <c r="L149" s="120"/>
    </row>
    <row r="150" spans="1:12" ht="15.75" customHeight="1" x14ac:dyDescent="0.2">
      <c r="A150" s="37"/>
      <c r="B150" s="120"/>
      <c r="C150" s="120"/>
      <c r="D150" s="120"/>
      <c r="E150" s="120"/>
      <c r="F150" s="120"/>
      <c r="G150" s="120"/>
      <c r="H150" s="120"/>
      <c r="I150" s="120"/>
      <c r="J150" s="120"/>
      <c r="K150" s="120"/>
      <c r="L150" s="120"/>
    </row>
    <row r="151" spans="1:12" ht="15.75" customHeight="1" x14ac:dyDescent="0.2">
      <c r="A151" s="37"/>
      <c r="B151" s="120"/>
      <c r="C151" s="120"/>
      <c r="D151" s="120"/>
      <c r="E151" s="120"/>
      <c r="F151" s="120"/>
      <c r="G151" s="120"/>
      <c r="H151" s="120"/>
      <c r="I151" s="120"/>
      <c r="J151" s="120"/>
      <c r="K151" s="120"/>
      <c r="L151" s="120"/>
    </row>
    <row r="152" spans="1:12" ht="15.75" customHeight="1" x14ac:dyDescent="0.2">
      <c r="A152" s="37"/>
      <c r="B152" s="120"/>
      <c r="C152" s="120"/>
      <c r="D152" s="120"/>
      <c r="E152" s="120"/>
      <c r="F152" s="120"/>
      <c r="G152" s="120"/>
      <c r="H152" s="120"/>
      <c r="I152" s="120"/>
      <c r="J152" s="120"/>
      <c r="K152" s="120"/>
      <c r="L152" s="120"/>
    </row>
    <row r="153" spans="1:12" ht="15.75" customHeight="1" x14ac:dyDescent="0.2">
      <c r="A153" s="37"/>
      <c r="B153" s="120"/>
      <c r="C153" s="120"/>
      <c r="D153" s="120"/>
      <c r="E153" s="120"/>
      <c r="F153" s="120"/>
      <c r="G153" s="120"/>
      <c r="H153" s="120"/>
      <c r="I153" s="120"/>
      <c r="J153" s="120"/>
      <c r="K153" s="120"/>
      <c r="L153" s="120"/>
    </row>
    <row r="154" spans="1:12" ht="15.75" customHeight="1" x14ac:dyDescent="0.2">
      <c r="A154" s="37"/>
      <c r="B154" s="120"/>
      <c r="C154" s="120"/>
      <c r="D154" s="120"/>
      <c r="E154" s="120"/>
      <c r="F154" s="120"/>
      <c r="G154" s="120"/>
      <c r="H154" s="120"/>
      <c r="I154" s="120"/>
      <c r="J154" s="120"/>
      <c r="K154" s="120"/>
      <c r="L154" s="120"/>
    </row>
    <row r="155" spans="1:12" ht="15.75" customHeight="1" x14ac:dyDescent="0.2">
      <c r="A155" s="37"/>
      <c r="B155" s="120"/>
      <c r="C155" s="120"/>
      <c r="D155" s="120"/>
      <c r="E155" s="120"/>
      <c r="F155" s="120"/>
      <c r="G155" s="120"/>
      <c r="H155" s="120"/>
      <c r="I155" s="120"/>
      <c r="J155" s="120"/>
      <c r="K155" s="120"/>
      <c r="L155" s="120"/>
    </row>
    <row r="156" spans="1:12" ht="15.75" customHeight="1" x14ac:dyDescent="0.2">
      <c r="A156" s="37"/>
      <c r="B156" s="120"/>
      <c r="C156" s="120"/>
      <c r="D156" s="120"/>
      <c r="E156" s="120"/>
      <c r="F156" s="120"/>
      <c r="G156" s="120"/>
      <c r="H156" s="120"/>
      <c r="I156" s="120"/>
      <c r="J156" s="120"/>
      <c r="K156" s="120"/>
      <c r="L156" s="120"/>
    </row>
    <row r="157" spans="1:12" ht="15.75" customHeight="1" x14ac:dyDescent="0.2">
      <c r="A157" s="37"/>
      <c r="B157" s="120"/>
      <c r="C157" s="120"/>
      <c r="D157" s="120"/>
      <c r="E157" s="120"/>
      <c r="F157" s="120"/>
      <c r="G157" s="120"/>
      <c r="H157" s="120"/>
      <c r="I157" s="120"/>
      <c r="J157" s="120"/>
      <c r="K157" s="120"/>
      <c r="L157" s="120"/>
    </row>
    <row r="158" spans="1:12" ht="15.75" customHeight="1" x14ac:dyDescent="0.2">
      <c r="A158" s="37"/>
      <c r="B158" s="120"/>
      <c r="C158" s="120"/>
      <c r="D158" s="120"/>
      <c r="E158" s="120"/>
      <c r="F158" s="120"/>
      <c r="G158" s="120"/>
      <c r="H158" s="120"/>
      <c r="I158" s="120"/>
      <c r="J158" s="120"/>
      <c r="K158" s="120"/>
      <c r="L158" s="120"/>
    </row>
    <row r="159" spans="1:12" ht="15.75" customHeight="1" x14ac:dyDescent="0.2">
      <c r="A159" s="37"/>
      <c r="B159" s="120"/>
      <c r="C159" s="120"/>
      <c r="D159" s="120"/>
      <c r="E159" s="120"/>
      <c r="F159" s="120"/>
      <c r="G159" s="120"/>
      <c r="H159" s="120"/>
      <c r="I159" s="120"/>
      <c r="J159" s="120"/>
      <c r="K159" s="120"/>
      <c r="L159" s="120"/>
    </row>
    <row r="160" spans="1:12" ht="15.75" customHeight="1" x14ac:dyDescent="0.2">
      <c r="A160" s="37"/>
      <c r="B160" s="120"/>
      <c r="C160" s="120"/>
      <c r="D160" s="120"/>
      <c r="E160" s="120"/>
      <c r="F160" s="120"/>
      <c r="G160" s="120"/>
      <c r="H160" s="120"/>
      <c r="I160" s="120"/>
      <c r="J160" s="120"/>
      <c r="K160" s="120"/>
      <c r="L160" s="120"/>
    </row>
    <row r="161" spans="1:12" ht="15.75" customHeight="1" x14ac:dyDescent="0.2">
      <c r="A161" s="37"/>
      <c r="B161" s="120"/>
      <c r="C161" s="120"/>
      <c r="D161" s="120"/>
      <c r="E161" s="120"/>
      <c r="F161" s="120"/>
      <c r="G161" s="120"/>
      <c r="H161" s="120"/>
      <c r="I161" s="120"/>
      <c r="J161" s="120"/>
      <c r="K161" s="120"/>
      <c r="L161" s="120"/>
    </row>
    <row r="162" spans="1:12" ht="15.75" customHeight="1" x14ac:dyDescent="0.2">
      <c r="A162" s="37"/>
      <c r="B162" s="120"/>
      <c r="C162" s="120"/>
      <c r="D162" s="120"/>
      <c r="E162" s="120"/>
      <c r="F162" s="120"/>
      <c r="G162" s="120"/>
      <c r="H162" s="120"/>
      <c r="I162" s="120"/>
      <c r="J162" s="120"/>
      <c r="K162" s="120"/>
      <c r="L162" s="120"/>
    </row>
    <row r="163" spans="1:12" ht="15.75" customHeight="1" x14ac:dyDescent="0.2">
      <c r="A163" s="37"/>
      <c r="B163" s="120"/>
      <c r="C163" s="120"/>
      <c r="D163" s="120"/>
      <c r="E163" s="120"/>
      <c r="F163" s="120"/>
      <c r="G163" s="120"/>
      <c r="H163" s="120"/>
      <c r="I163" s="120"/>
      <c r="J163" s="120"/>
      <c r="K163" s="120"/>
      <c r="L163" s="120"/>
    </row>
    <row r="164" spans="1:12" ht="15.75" customHeight="1" x14ac:dyDescent="0.2">
      <c r="A164" s="37"/>
      <c r="B164" s="120"/>
      <c r="C164" s="120"/>
      <c r="D164" s="120"/>
      <c r="E164" s="120"/>
      <c r="F164" s="120"/>
      <c r="G164" s="120"/>
      <c r="H164" s="120"/>
      <c r="I164" s="120"/>
      <c r="J164" s="120"/>
      <c r="K164" s="120"/>
      <c r="L164" s="120"/>
    </row>
    <row r="165" spans="1:12" ht="15.75" customHeight="1" x14ac:dyDescent="0.2">
      <c r="A165" s="37"/>
      <c r="B165" s="120"/>
      <c r="C165" s="120"/>
      <c r="D165" s="120"/>
      <c r="E165" s="120"/>
      <c r="F165" s="120"/>
      <c r="G165" s="120"/>
      <c r="H165" s="120"/>
      <c r="I165" s="120"/>
      <c r="J165" s="120"/>
      <c r="K165" s="120"/>
      <c r="L165" s="120"/>
    </row>
    <row r="166" spans="1:12" ht="15.75" customHeight="1" x14ac:dyDescent="0.2">
      <c r="A166" s="37"/>
      <c r="B166" s="120"/>
      <c r="C166" s="120"/>
      <c r="D166" s="120"/>
      <c r="E166" s="120"/>
      <c r="F166" s="120"/>
      <c r="G166" s="120"/>
      <c r="H166" s="120"/>
      <c r="I166" s="120"/>
      <c r="J166" s="120"/>
      <c r="K166" s="120"/>
      <c r="L166" s="120"/>
    </row>
    <row r="167" spans="1:12" ht="15.75" customHeight="1" x14ac:dyDescent="0.2">
      <c r="A167" s="37"/>
      <c r="B167" s="120"/>
      <c r="C167" s="120"/>
      <c r="D167" s="120"/>
      <c r="E167" s="120"/>
      <c r="F167" s="120"/>
      <c r="G167" s="120"/>
      <c r="H167" s="120"/>
      <c r="I167" s="120"/>
      <c r="J167" s="120"/>
      <c r="K167" s="120"/>
      <c r="L167" s="120"/>
    </row>
    <row r="168" spans="1:12" ht="15.75" customHeight="1" x14ac:dyDescent="0.2">
      <c r="A168" s="37"/>
      <c r="B168" s="120"/>
      <c r="C168" s="120"/>
      <c r="D168" s="120"/>
      <c r="E168" s="120"/>
      <c r="F168" s="120"/>
      <c r="G168" s="120"/>
      <c r="H168" s="120"/>
      <c r="I168" s="120"/>
      <c r="J168" s="120"/>
      <c r="K168" s="120"/>
      <c r="L168" s="120"/>
    </row>
    <row r="169" spans="1:12" ht="15.75" customHeight="1" x14ac:dyDescent="0.2">
      <c r="A169" s="37"/>
      <c r="B169" s="120"/>
      <c r="C169" s="120"/>
      <c r="D169" s="120"/>
      <c r="E169" s="120"/>
      <c r="F169" s="120"/>
      <c r="G169" s="120"/>
      <c r="H169" s="120"/>
      <c r="I169" s="120"/>
      <c r="J169" s="120"/>
      <c r="K169" s="120"/>
      <c r="L169" s="120"/>
    </row>
    <row r="170" spans="1:12" ht="15.75" customHeight="1" x14ac:dyDescent="0.2">
      <c r="A170" s="37"/>
      <c r="B170" s="120"/>
      <c r="C170" s="120"/>
      <c r="D170" s="120"/>
      <c r="E170" s="120"/>
      <c r="F170" s="120"/>
      <c r="G170" s="120"/>
      <c r="H170" s="120"/>
      <c r="I170" s="120"/>
      <c r="J170" s="120"/>
      <c r="K170" s="120"/>
      <c r="L170" s="120"/>
    </row>
    <row r="171" spans="1:12" ht="15.75" customHeight="1" x14ac:dyDescent="0.2">
      <c r="A171" s="37"/>
      <c r="B171" s="120"/>
      <c r="C171" s="120"/>
      <c r="D171" s="120"/>
      <c r="E171" s="120"/>
      <c r="F171" s="120"/>
      <c r="G171" s="120"/>
      <c r="H171" s="120"/>
      <c r="I171" s="120"/>
      <c r="J171" s="120"/>
      <c r="K171" s="120"/>
      <c r="L171" s="120"/>
    </row>
    <row r="172" spans="1:12" ht="15.75" customHeight="1" x14ac:dyDescent="0.2">
      <c r="A172" s="37"/>
      <c r="B172" s="120"/>
      <c r="C172" s="120"/>
      <c r="D172" s="120"/>
      <c r="E172" s="120"/>
      <c r="F172" s="120"/>
      <c r="G172" s="120"/>
      <c r="H172" s="120"/>
      <c r="I172" s="120"/>
      <c r="J172" s="120"/>
      <c r="K172" s="120"/>
      <c r="L172" s="120"/>
    </row>
    <row r="173" spans="1:12" ht="15.75" customHeight="1" x14ac:dyDescent="0.2">
      <c r="A173" s="37"/>
      <c r="B173" s="120"/>
      <c r="C173" s="120"/>
      <c r="D173" s="120"/>
      <c r="E173" s="120"/>
      <c r="F173" s="120"/>
      <c r="G173" s="120"/>
      <c r="H173" s="120"/>
      <c r="I173" s="120"/>
      <c r="J173" s="120"/>
      <c r="K173" s="120"/>
      <c r="L173" s="120"/>
    </row>
    <row r="174" spans="1:12" ht="15.75" customHeight="1" x14ac:dyDescent="0.2">
      <c r="A174" s="37"/>
      <c r="B174" s="120"/>
      <c r="C174" s="120"/>
      <c r="D174" s="120"/>
      <c r="E174" s="120"/>
      <c r="F174" s="120"/>
      <c r="G174" s="120"/>
      <c r="H174" s="120"/>
      <c r="I174" s="120"/>
      <c r="J174" s="120"/>
      <c r="K174" s="120"/>
      <c r="L174" s="120"/>
    </row>
    <row r="175" spans="1:12" ht="15.75" customHeight="1" x14ac:dyDescent="0.2">
      <c r="A175" s="37"/>
      <c r="B175" s="120"/>
      <c r="C175" s="120"/>
      <c r="D175" s="120"/>
      <c r="E175" s="120"/>
      <c r="F175" s="120"/>
      <c r="G175" s="120"/>
      <c r="H175" s="120"/>
      <c r="I175" s="120"/>
      <c r="J175" s="120"/>
      <c r="K175" s="120"/>
      <c r="L175" s="120"/>
    </row>
    <row r="176" spans="1:12" ht="15.75" customHeight="1" x14ac:dyDescent="0.2">
      <c r="A176" s="37"/>
      <c r="B176" s="120"/>
      <c r="C176" s="120"/>
      <c r="D176" s="120"/>
      <c r="E176" s="120"/>
      <c r="F176" s="120"/>
      <c r="G176" s="120"/>
      <c r="H176" s="120"/>
      <c r="I176" s="120"/>
      <c r="J176" s="120"/>
      <c r="K176" s="120"/>
      <c r="L176" s="120"/>
    </row>
    <row r="177" spans="1:12" ht="15.75" customHeight="1" x14ac:dyDescent="0.2">
      <c r="A177" s="37"/>
      <c r="B177" s="120"/>
      <c r="C177" s="120"/>
      <c r="D177" s="120"/>
      <c r="E177" s="120"/>
      <c r="F177" s="120"/>
      <c r="G177" s="120"/>
      <c r="H177" s="120"/>
      <c r="I177" s="120"/>
      <c r="J177" s="120"/>
      <c r="K177" s="120"/>
      <c r="L177" s="120"/>
    </row>
    <row r="178" spans="1:12" ht="15.75" customHeight="1" x14ac:dyDescent="0.2">
      <c r="A178" s="37"/>
      <c r="B178" s="120"/>
      <c r="C178" s="120"/>
      <c r="D178" s="120"/>
      <c r="E178" s="120"/>
      <c r="F178" s="120"/>
      <c r="G178" s="120"/>
      <c r="H178" s="120"/>
      <c r="I178" s="120"/>
      <c r="J178" s="120"/>
      <c r="K178" s="120"/>
      <c r="L178" s="120"/>
    </row>
    <row r="179" spans="1:12" ht="15.75" customHeight="1" x14ac:dyDescent="0.2">
      <c r="A179" s="37"/>
      <c r="B179" s="120"/>
      <c r="C179" s="120"/>
      <c r="D179" s="120"/>
      <c r="E179" s="120"/>
      <c r="F179" s="120"/>
      <c r="G179" s="120"/>
      <c r="H179" s="120"/>
      <c r="I179" s="120"/>
      <c r="J179" s="120"/>
      <c r="K179" s="120"/>
      <c r="L179" s="120"/>
    </row>
    <row r="180" spans="1:12" ht="15.75" customHeight="1" x14ac:dyDescent="0.2">
      <c r="A180" s="37"/>
      <c r="B180" s="120"/>
      <c r="C180" s="120"/>
      <c r="D180" s="120"/>
      <c r="E180" s="120"/>
      <c r="F180" s="120"/>
      <c r="G180" s="120"/>
      <c r="H180" s="120"/>
      <c r="I180" s="120"/>
      <c r="J180" s="120"/>
      <c r="K180" s="120"/>
      <c r="L180" s="120"/>
    </row>
    <row r="181" spans="1:12" ht="15.75" customHeight="1" x14ac:dyDescent="0.2">
      <c r="A181" s="37"/>
      <c r="B181" s="120"/>
      <c r="C181" s="120"/>
      <c r="D181" s="120"/>
      <c r="E181" s="120"/>
      <c r="F181" s="120"/>
      <c r="G181" s="120"/>
      <c r="H181" s="120"/>
      <c r="I181" s="120"/>
      <c r="J181" s="120"/>
      <c r="K181" s="120"/>
      <c r="L181" s="120"/>
    </row>
    <row r="182" spans="1:12" ht="15.75" customHeight="1" x14ac:dyDescent="0.2">
      <c r="A182" s="37"/>
      <c r="B182" s="120"/>
      <c r="C182" s="120"/>
      <c r="D182" s="120"/>
      <c r="E182" s="120"/>
      <c r="F182" s="120"/>
      <c r="G182" s="120"/>
      <c r="H182" s="120"/>
      <c r="I182" s="120"/>
      <c r="J182" s="120"/>
      <c r="K182" s="120"/>
      <c r="L182" s="120"/>
    </row>
    <row r="183" spans="1:12" ht="15.75" customHeight="1" x14ac:dyDescent="0.2">
      <c r="A183" s="37"/>
      <c r="B183" s="120"/>
      <c r="C183" s="120"/>
      <c r="D183" s="120"/>
      <c r="E183" s="120"/>
      <c r="F183" s="120"/>
      <c r="G183" s="120"/>
      <c r="H183" s="120"/>
      <c r="I183" s="120"/>
      <c r="J183" s="120"/>
      <c r="K183" s="120"/>
      <c r="L183" s="120"/>
    </row>
    <row r="184" spans="1:12" ht="15.75" customHeight="1" x14ac:dyDescent="0.2">
      <c r="A184" s="37"/>
      <c r="B184" s="120"/>
      <c r="C184" s="120"/>
      <c r="D184" s="120"/>
      <c r="E184" s="120"/>
      <c r="F184" s="120"/>
      <c r="G184" s="120"/>
      <c r="H184" s="120"/>
      <c r="I184" s="120"/>
      <c r="J184" s="120"/>
      <c r="K184" s="120"/>
      <c r="L184" s="120"/>
    </row>
    <row r="185" spans="1:12" ht="15.75" customHeight="1" x14ac:dyDescent="0.2">
      <c r="A185" s="37"/>
      <c r="B185" s="120"/>
      <c r="C185" s="120"/>
      <c r="D185" s="120"/>
      <c r="E185" s="120"/>
      <c r="F185" s="120"/>
      <c r="G185" s="120"/>
      <c r="H185" s="120"/>
      <c r="I185" s="120"/>
      <c r="J185" s="120"/>
      <c r="K185" s="120"/>
      <c r="L185" s="120"/>
    </row>
    <row r="186" spans="1:12" ht="15.75" customHeight="1" x14ac:dyDescent="0.2">
      <c r="A186" s="37"/>
      <c r="B186" s="120"/>
      <c r="C186" s="120"/>
      <c r="D186" s="120"/>
      <c r="E186" s="120"/>
      <c r="F186" s="120"/>
      <c r="G186" s="120"/>
      <c r="H186" s="120"/>
      <c r="I186" s="120"/>
      <c r="J186" s="120"/>
      <c r="K186" s="120"/>
      <c r="L186" s="120"/>
    </row>
    <row r="187" spans="1:12" ht="15.75" customHeight="1" x14ac:dyDescent="0.2">
      <c r="A187" s="37"/>
      <c r="B187" s="120"/>
      <c r="C187" s="120"/>
      <c r="D187" s="120"/>
      <c r="E187" s="120"/>
      <c r="F187" s="120"/>
      <c r="G187" s="120"/>
      <c r="H187" s="120"/>
      <c r="I187" s="120"/>
      <c r="J187" s="120"/>
      <c r="K187" s="120"/>
      <c r="L187" s="120"/>
    </row>
    <row r="188" spans="1:12" ht="15.75" customHeight="1" x14ac:dyDescent="0.2">
      <c r="A188" s="37"/>
      <c r="B188" s="120"/>
      <c r="C188" s="120"/>
      <c r="D188" s="120"/>
      <c r="E188" s="120"/>
      <c r="F188" s="120"/>
      <c r="G188" s="120"/>
      <c r="H188" s="120"/>
      <c r="I188" s="120"/>
      <c r="J188" s="120"/>
      <c r="K188" s="120"/>
      <c r="L188" s="120"/>
    </row>
    <row r="189" spans="1:12" ht="15.75" customHeight="1" x14ac:dyDescent="0.2">
      <c r="A189" s="37"/>
      <c r="B189" s="120"/>
      <c r="C189" s="120"/>
      <c r="D189" s="120"/>
      <c r="E189" s="120"/>
      <c r="F189" s="120"/>
      <c r="G189" s="120"/>
      <c r="H189" s="120"/>
      <c r="I189" s="120"/>
      <c r="J189" s="120"/>
      <c r="K189" s="120"/>
      <c r="L189" s="120"/>
    </row>
    <row r="190" spans="1:12" ht="15.75" customHeight="1" x14ac:dyDescent="0.2">
      <c r="A190" s="37"/>
      <c r="B190" s="120"/>
      <c r="C190" s="120"/>
      <c r="D190" s="120"/>
      <c r="E190" s="120"/>
      <c r="F190" s="120"/>
      <c r="G190" s="120"/>
      <c r="H190" s="120"/>
      <c r="I190" s="120"/>
      <c r="J190" s="120"/>
      <c r="K190" s="120"/>
      <c r="L190" s="120"/>
    </row>
    <row r="191" spans="1:12" ht="15.75" customHeight="1" x14ac:dyDescent="0.2">
      <c r="A191" s="37"/>
      <c r="B191" s="120"/>
      <c r="C191" s="120"/>
      <c r="D191" s="120"/>
      <c r="E191" s="120"/>
      <c r="F191" s="120"/>
      <c r="G191" s="120"/>
      <c r="H191" s="120"/>
      <c r="I191" s="120"/>
      <c r="J191" s="120"/>
      <c r="K191" s="120"/>
      <c r="L191" s="120"/>
    </row>
    <row r="192" spans="1:12" ht="15.75" customHeight="1" x14ac:dyDescent="0.2">
      <c r="A192" s="37"/>
      <c r="B192" s="120"/>
      <c r="C192" s="120"/>
      <c r="D192" s="120"/>
      <c r="E192" s="120"/>
      <c r="F192" s="120"/>
      <c r="G192" s="120"/>
      <c r="H192" s="120"/>
      <c r="I192" s="120"/>
      <c r="J192" s="120"/>
      <c r="K192" s="120"/>
      <c r="L192" s="120"/>
    </row>
    <row r="193" spans="1:12" ht="15.75" customHeight="1" x14ac:dyDescent="0.2">
      <c r="A193" s="37"/>
      <c r="B193" s="120"/>
      <c r="C193" s="120"/>
      <c r="D193" s="120"/>
      <c r="E193" s="120"/>
      <c r="F193" s="120"/>
      <c r="G193" s="120"/>
      <c r="H193" s="120"/>
      <c r="I193" s="120"/>
      <c r="J193" s="120"/>
      <c r="K193" s="120"/>
      <c r="L193" s="120"/>
    </row>
    <row r="194" spans="1:12" ht="15.75" customHeight="1" x14ac:dyDescent="0.2">
      <c r="A194" s="37"/>
      <c r="B194" s="120"/>
      <c r="C194" s="120"/>
      <c r="D194" s="120"/>
      <c r="E194" s="120"/>
      <c r="F194" s="120"/>
      <c r="G194" s="120"/>
      <c r="H194" s="120"/>
      <c r="I194" s="120"/>
      <c r="J194" s="120"/>
      <c r="K194" s="120"/>
      <c r="L194" s="120"/>
    </row>
    <row r="195" spans="1:12" ht="15.75" customHeight="1" x14ac:dyDescent="0.2">
      <c r="A195" s="37"/>
      <c r="B195" s="120"/>
      <c r="C195" s="120"/>
      <c r="D195" s="120"/>
      <c r="E195" s="120"/>
      <c r="F195" s="120"/>
      <c r="G195" s="120"/>
      <c r="H195" s="120"/>
      <c r="I195" s="120"/>
      <c r="J195" s="120"/>
      <c r="K195" s="120"/>
      <c r="L195" s="120"/>
    </row>
    <row r="196" spans="1:12" ht="15.75" customHeight="1" x14ac:dyDescent="0.2">
      <c r="A196" s="37"/>
      <c r="B196" s="120"/>
      <c r="C196" s="120"/>
      <c r="D196" s="120"/>
      <c r="E196" s="120"/>
      <c r="F196" s="120"/>
      <c r="G196" s="120"/>
      <c r="H196" s="120"/>
      <c r="I196" s="120"/>
      <c r="J196" s="120"/>
      <c r="K196" s="120"/>
      <c r="L196" s="120"/>
    </row>
    <row r="197" spans="1:12" ht="15.75" customHeight="1" x14ac:dyDescent="0.2">
      <c r="A197" s="37"/>
      <c r="B197" s="120"/>
      <c r="C197" s="120"/>
      <c r="D197" s="120"/>
      <c r="E197" s="120"/>
      <c r="F197" s="120"/>
      <c r="G197" s="120"/>
      <c r="H197" s="120"/>
      <c r="I197" s="120"/>
      <c r="J197" s="120"/>
      <c r="K197" s="120"/>
      <c r="L197" s="120"/>
    </row>
    <row r="198" spans="1:12" ht="15.75" customHeight="1" x14ac:dyDescent="0.2">
      <c r="A198" s="37"/>
      <c r="B198" s="120"/>
      <c r="C198" s="120"/>
      <c r="D198" s="120"/>
      <c r="E198" s="120"/>
      <c r="F198" s="120"/>
      <c r="G198" s="120"/>
      <c r="H198" s="120"/>
      <c r="I198" s="120"/>
      <c r="J198" s="120"/>
      <c r="K198" s="120"/>
      <c r="L198" s="120"/>
    </row>
    <row r="199" spans="1:12" ht="15.75" customHeight="1" x14ac:dyDescent="0.2">
      <c r="A199" s="37"/>
      <c r="B199" s="120"/>
      <c r="C199" s="120"/>
      <c r="D199" s="120"/>
      <c r="E199" s="120"/>
      <c r="F199" s="120"/>
      <c r="G199" s="120"/>
      <c r="H199" s="120"/>
      <c r="I199" s="120"/>
      <c r="J199" s="120"/>
      <c r="K199" s="120"/>
      <c r="L199" s="120"/>
    </row>
    <row r="200" spans="1:12" ht="15.75" customHeight="1" x14ac:dyDescent="0.2">
      <c r="A200" s="37"/>
      <c r="B200" s="120"/>
      <c r="C200" s="120"/>
      <c r="D200" s="120"/>
      <c r="E200" s="120"/>
      <c r="F200" s="120"/>
      <c r="G200" s="120"/>
      <c r="H200" s="120"/>
      <c r="I200" s="120"/>
      <c r="J200" s="120"/>
      <c r="K200" s="120"/>
      <c r="L200" s="120"/>
    </row>
    <row r="201" spans="1:12" ht="15.75" customHeight="1" x14ac:dyDescent="0.2">
      <c r="A201" s="37"/>
      <c r="B201" s="120"/>
      <c r="C201" s="120"/>
      <c r="D201" s="120"/>
      <c r="E201" s="120"/>
      <c r="F201" s="120"/>
      <c r="G201" s="120"/>
      <c r="H201" s="120"/>
      <c r="I201" s="120"/>
      <c r="J201" s="120"/>
      <c r="K201" s="120"/>
      <c r="L201" s="120"/>
    </row>
    <row r="202" spans="1:12" ht="15.75" customHeight="1" x14ac:dyDescent="0.2">
      <c r="A202" s="37"/>
      <c r="B202" s="120"/>
      <c r="C202" s="120"/>
      <c r="D202" s="120"/>
      <c r="E202" s="120"/>
      <c r="F202" s="120"/>
      <c r="G202" s="120"/>
      <c r="H202" s="120"/>
      <c r="I202" s="120"/>
      <c r="J202" s="120"/>
      <c r="K202" s="120"/>
      <c r="L202" s="120"/>
    </row>
    <row r="203" spans="1:12" ht="15.75" customHeight="1" x14ac:dyDescent="0.2">
      <c r="A203" s="37"/>
      <c r="B203" s="120"/>
      <c r="C203" s="120"/>
      <c r="D203" s="120"/>
      <c r="E203" s="120"/>
      <c r="F203" s="120"/>
      <c r="G203" s="120"/>
      <c r="H203" s="120"/>
      <c r="I203" s="120"/>
      <c r="J203" s="120"/>
      <c r="K203" s="120"/>
      <c r="L203" s="120"/>
    </row>
    <row r="204" spans="1:12" ht="15.75" customHeight="1" x14ac:dyDescent="0.2">
      <c r="A204" s="37"/>
      <c r="B204" s="120"/>
      <c r="C204" s="120"/>
      <c r="D204" s="120"/>
      <c r="E204" s="120"/>
      <c r="F204" s="120"/>
      <c r="G204" s="120"/>
      <c r="H204" s="120"/>
      <c r="I204" s="120"/>
      <c r="J204" s="120"/>
      <c r="K204" s="120"/>
      <c r="L204" s="120"/>
    </row>
    <row r="205" spans="1:12" ht="15.75" customHeight="1" x14ac:dyDescent="0.2">
      <c r="A205" s="37"/>
      <c r="B205" s="120"/>
      <c r="C205" s="120"/>
      <c r="D205" s="120"/>
      <c r="E205" s="120"/>
      <c r="F205" s="120"/>
      <c r="G205" s="120"/>
      <c r="H205" s="120"/>
      <c r="I205" s="120"/>
      <c r="J205" s="120"/>
      <c r="K205" s="120"/>
      <c r="L205" s="120"/>
    </row>
    <row r="206" spans="1:12" ht="15.75" customHeight="1" x14ac:dyDescent="0.2">
      <c r="A206" s="37"/>
      <c r="B206" s="120"/>
      <c r="C206" s="120"/>
      <c r="D206" s="120"/>
      <c r="E206" s="120"/>
      <c r="F206" s="120"/>
      <c r="G206" s="120"/>
      <c r="H206" s="120"/>
      <c r="I206" s="120"/>
      <c r="J206" s="120"/>
      <c r="K206" s="120"/>
      <c r="L206" s="120"/>
    </row>
    <row r="207" spans="1:12" ht="15.75" customHeight="1" x14ac:dyDescent="0.2">
      <c r="A207" s="37"/>
      <c r="B207" s="120"/>
      <c r="C207" s="120"/>
      <c r="D207" s="120"/>
      <c r="E207" s="120"/>
      <c r="F207" s="120"/>
      <c r="G207" s="120"/>
      <c r="H207" s="120"/>
      <c r="I207" s="120"/>
      <c r="J207" s="120"/>
      <c r="K207" s="120"/>
      <c r="L207" s="120"/>
    </row>
    <row r="208" spans="1:12" ht="15.75" customHeight="1" x14ac:dyDescent="0.2">
      <c r="A208" s="37"/>
      <c r="B208" s="120"/>
      <c r="C208" s="120"/>
      <c r="D208" s="120"/>
      <c r="E208" s="120"/>
      <c r="F208" s="120"/>
      <c r="G208" s="120"/>
      <c r="H208" s="120"/>
      <c r="I208" s="120"/>
      <c r="J208" s="120"/>
      <c r="K208" s="120"/>
      <c r="L208" s="120"/>
    </row>
    <row r="209" spans="1:12" ht="15.75" customHeight="1" x14ac:dyDescent="0.2">
      <c r="A209" s="37"/>
      <c r="B209" s="120"/>
      <c r="C209" s="120"/>
      <c r="D209" s="120"/>
      <c r="E209" s="120"/>
      <c r="F209" s="120"/>
      <c r="G209" s="120"/>
      <c r="H209" s="120"/>
      <c r="I209" s="120"/>
      <c r="J209" s="120"/>
      <c r="K209" s="120"/>
      <c r="L209" s="120"/>
    </row>
    <row r="210" spans="1:12" ht="15.75" customHeight="1" x14ac:dyDescent="0.2">
      <c r="A210" s="37"/>
      <c r="B210" s="37"/>
      <c r="C210" s="37"/>
      <c r="D210" s="37"/>
      <c r="E210" s="37"/>
      <c r="F210" s="37"/>
      <c r="G210" s="37"/>
      <c r="H210" s="37"/>
      <c r="I210" s="37"/>
      <c r="J210" s="37"/>
      <c r="K210" s="37"/>
      <c r="L210" s="37"/>
    </row>
    <row r="211" spans="1:12" ht="15.75" customHeight="1" x14ac:dyDescent="0.2">
      <c r="A211" s="37"/>
      <c r="B211" s="37"/>
      <c r="C211" s="37"/>
      <c r="D211" s="37"/>
      <c r="E211" s="37"/>
      <c r="F211" s="37"/>
      <c r="G211" s="37"/>
      <c r="H211" s="37"/>
      <c r="I211" s="37"/>
      <c r="J211" s="37"/>
      <c r="K211" s="37"/>
      <c r="L211" s="37"/>
    </row>
    <row r="212" spans="1:12" ht="15.75" customHeight="1" x14ac:dyDescent="0.2">
      <c r="A212" s="37"/>
      <c r="B212" s="37"/>
      <c r="C212" s="37"/>
      <c r="D212" s="37"/>
      <c r="E212" s="37"/>
      <c r="F212" s="37"/>
      <c r="G212" s="37"/>
      <c r="H212" s="37"/>
      <c r="I212" s="37"/>
      <c r="J212" s="37"/>
      <c r="K212" s="37"/>
      <c r="L212" s="37"/>
    </row>
    <row r="213" spans="1:12" ht="15.75" customHeight="1" x14ac:dyDescent="0.2">
      <c r="A213" s="37"/>
      <c r="B213" s="37"/>
      <c r="C213" s="37"/>
      <c r="D213" s="37"/>
      <c r="E213" s="37"/>
      <c r="F213" s="37"/>
      <c r="G213" s="37"/>
      <c r="H213" s="37"/>
      <c r="I213" s="37"/>
      <c r="J213" s="37"/>
      <c r="K213" s="37"/>
      <c r="L213" s="37"/>
    </row>
    <row r="214" spans="1:12" ht="15.75" customHeight="1" x14ac:dyDescent="0.2">
      <c r="A214" s="37"/>
      <c r="B214" s="37"/>
      <c r="C214" s="37"/>
      <c r="D214" s="37"/>
      <c r="E214" s="37"/>
      <c r="F214" s="37"/>
      <c r="G214" s="37"/>
      <c r="H214" s="37"/>
      <c r="I214" s="37"/>
      <c r="J214" s="37"/>
      <c r="K214" s="37"/>
      <c r="L214" s="37"/>
    </row>
    <row r="215" spans="1:12" ht="15.75" customHeight="1" x14ac:dyDescent="0.2">
      <c r="A215" s="37"/>
      <c r="B215" s="37"/>
      <c r="C215" s="37"/>
      <c r="D215" s="37"/>
      <c r="E215" s="37"/>
      <c r="F215" s="37"/>
      <c r="G215" s="37"/>
      <c r="H215" s="37"/>
      <c r="I215" s="37"/>
      <c r="J215" s="37"/>
      <c r="K215" s="37"/>
      <c r="L215" s="37"/>
    </row>
    <row r="216" spans="1:12" ht="15.75" customHeight="1" x14ac:dyDescent="0.2">
      <c r="A216" s="37"/>
      <c r="B216" s="37"/>
      <c r="C216" s="37"/>
      <c r="D216" s="37"/>
      <c r="E216" s="37"/>
      <c r="F216" s="37"/>
      <c r="G216" s="37"/>
      <c r="H216" s="37"/>
      <c r="I216" s="37"/>
      <c r="J216" s="37"/>
      <c r="K216" s="37"/>
      <c r="L216" s="37"/>
    </row>
    <row r="217" spans="1:12" ht="15.75" customHeight="1" x14ac:dyDescent="0.2">
      <c r="A217" s="37"/>
      <c r="B217" s="37"/>
      <c r="C217" s="37"/>
      <c r="D217" s="37"/>
      <c r="E217" s="37"/>
      <c r="F217" s="37"/>
      <c r="G217" s="37"/>
      <c r="H217" s="37"/>
      <c r="I217" s="37"/>
      <c r="J217" s="37"/>
      <c r="K217" s="37"/>
      <c r="L217" s="37"/>
    </row>
    <row r="218" spans="1:12" ht="15.75" customHeight="1" x14ac:dyDescent="0.2">
      <c r="A218" s="37"/>
      <c r="B218" s="37"/>
      <c r="C218" s="37"/>
      <c r="D218" s="37"/>
      <c r="E218" s="37"/>
      <c r="F218" s="37"/>
      <c r="G218" s="37"/>
      <c r="H218" s="37"/>
      <c r="I218" s="37"/>
      <c r="J218" s="37"/>
      <c r="K218" s="37"/>
      <c r="L218" s="37"/>
    </row>
    <row r="219" spans="1:12" ht="15.75" customHeight="1" x14ac:dyDescent="0.2">
      <c r="A219" s="37"/>
      <c r="B219" s="37"/>
      <c r="C219" s="37"/>
      <c r="D219" s="37"/>
      <c r="E219" s="37"/>
      <c r="F219" s="37"/>
      <c r="G219" s="37"/>
      <c r="H219" s="37"/>
      <c r="I219" s="37"/>
      <c r="J219" s="37"/>
      <c r="K219" s="37"/>
      <c r="L219" s="37"/>
    </row>
    <row r="220" spans="1:12" ht="15.75" customHeight="1" x14ac:dyDescent="0.2">
      <c r="A220" s="37"/>
      <c r="B220" s="37"/>
      <c r="C220" s="37"/>
      <c r="D220" s="37"/>
      <c r="E220" s="37"/>
      <c r="F220" s="37"/>
      <c r="G220" s="37"/>
      <c r="H220" s="37"/>
      <c r="I220" s="37"/>
      <c r="J220" s="37"/>
      <c r="K220" s="37"/>
      <c r="L220" s="37"/>
    </row>
    <row r="221" spans="1:12" ht="15.75" customHeight="1" x14ac:dyDescent="0.2">
      <c r="A221" s="37"/>
      <c r="B221" s="37"/>
      <c r="C221" s="37"/>
      <c r="D221" s="37"/>
      <c r="E221" s="37"/>
      <c r="F221" s="37"/>
      <c r="G221" s="37"/>
      <c r="H221" s="37"/>
      <c r="I221" s="37"/>
      <c r="J221" s="37"/>
      <c r="K221" s="37"/>
      <c r="L221" s="37"/>
    </row>
    <row r="222" spans="1:12" ht="15.75" customHeight="1" x14ac:dyDescent="0.2">
      <c r="A222" s="37"/>
      <c r="B222" s="37"/>
      <c r="C222" s="37"/>
      <c r="D222" s="37"/>
      <c r="E222" s="37"/>
      <c r="F222" s="37"/>
      <c r="G222" s="37"/>
      <c r="H222" s="37"/>
      <c r="I222" s="37"/>
      <c r="J222" s="37"/>
      <c r="K222" s="37"/>
      <c r="L222" s="37"/>
    </row>
    <row r="223" spans="1:12" ht="15.75" customHeight="1" x14ac:dyDescent="0.2">
      <c r="A223" s="37"/>
      <c r="B223" s="37"/>
      <c r="C223" s="37"/>
      <c r="D223" s="37"/>
      <c r="E223" s="37"/>
      <c r="F223" s="37"/>
      <c r="G223" s="37"/>
      <c r="H223" s="37"/>
      <c r="I223" s="37"/>
      <c r="J223" s="37"/>
      <c r="K223" s="37"/>
      <c r="L223" s="37"/>
    </row>
    <row r="224" spans="1:12" ht="15.75" customHeight="1" x14ac:dyDescent="0.2">
      <c r="A224" s="37"/>
      <c r="B224" s="37"/>
      <c r="C224" s="37"/>
      <c r="D224" s="37"/>
      <c r="E224" s="37"/>
      <c r="F224" s="37"/>
      <c r="G224" s="37"/>
      <c r="H224" s="37"/>
      <c r="I224" s="37"/>
      <c r="J224" s="37"/>
      <c r="K224" s="37"/>
      <c r="L224" s="37"/>
    </row>
    <row r="225" spans="1:12" ht="15.75" customHeight="1" x14ac:dyDescent="0.2">
      <c r="A225" s="37"/>
      <c r="B225" s="37"/>
      <c r="C225" s="37"/>
      <c r="D225" s="37"/>
      <c r="E225" s="37"/>
      <c r="F225" s="37"/>
      <c r="G225" s="37"/>
      <c r="H225" s="37"/>
      <c r="I225" s="37"/>
      <c r="J225" s="37"/>
      <c r="K225" s="37"/>
      <c r="L225" s="37"/>
    </row>
    <row r="226" spans="1:12" ht="15.75" customHeight="1" x14ac:dyDescent="0.2">
      <c r="A226" s="37"/>
      <c r="B226" s="37"/>
      <c r="C226" s="37"/>
      <c r="D226" s="37"/>
      <c r="E226" s="37"/>
      <c r="F226" s="37"/>
      <c r="G226" s="37"/>
      <c r="H226" s="37"/>
      <c r="I226" s="37"/>
      <c r="J226" s="37"/>
      <c r="K226" s="37"/>
      <c r="L226" s="37"/>
    </row>
    <row r="227" spans="1:12" ht="15.75" customHeight="1" x14ac:dyDescent="0.2">
      <c r="A227" s="37"/>
      <c r="B227" s="37"/>
      <c r="C227" s="37"/>
      <c r="D227" s="37"/>
      <c r="E227" s="37"/>
      <c r="F227" s="37"/>
      <c r="G227" s="37"/>
      <c r="H227" s="37"/>
      <c r="I227" s="37"/>
      <c r="J227" s="37"/>
      <c r="K227" s="37"/>
      <c r="L227" s="37"/>
    </row>
    <row r="228" spans="1:12" ht="15.75" customHeight="1" x14ac:dyDescent="0.2">
      <c r="A228" s="37"/>
      <c r="B228" s="37"/>
      <c r="C228" s="37"/>
      <c r="D228" s="37"/>
      <c r="E228" s="37"/>
      <c r="F228" s="37"/>
      <c r="G228" s="37"/>
      <c r="H228" s="37"/>
      <c r="I228" s="37"/>
      <c r="J228" s="37"/>
      <c r="K228" s="37"/>
      <c r="L228" s="37"/>
    </row>
    <row r="229" spans="1:12" ht="15.75" customHeight="1" x14ac:dyDescent="0.2">
      <c r="A229" s="37"/>
      <c r="B229" s="37"/>
      <c r="C229" s="37"/>
      <c r="D229" s="37"/>
      <c r="E229" s="37"/>
      <c r="F229" s="37"/>
      <c r="G229" s="37"/>
      <c r="H229" s="37"/>
      <c r="I229" s="37"/>
      <c r="J229" s="37"/>
      <c r="K229" s="37"/>
      <c r="L229" s="37"/>
    </row>
    <row r="230" spans="1:12" ht="15.75" customHeight="1" x14ac:dyDescent="0.2">
      <c r="A230" s="37"/>
      <c r="B230" s="37"/>
      <c r="C230" s="37"/>
      <c r="D230" s="37"/>
      <c r="E230" s="37"/>
      <c r="F230" s="37"/>
      <c r="G230" s="37"/>
      <c r="H230" s="37"/>
      <c r="I230" s="37"/>
      <c r="J230" s="37"/>
      <c r="K230" s="37"/>
      <c r="L230" s="37"/>
    </row>
    <row r="231" spans="1:12" ht="15.75" customHeight="1" x14ac:dyDescent="0.2">
      <c r="A231" s="37"/>
      <c r="B231" s="37"/>
      <c r="C231" s="37"/>
      <c r="D231" s="37"/>
      <c r="E231" s="37"/>
      <c r="F231" s="37"/>
      <c r="G231" s="37"/>
      <c r="H231" s="37"/>
      <c r="I231" s="37"/>
      <c r="J231" s="37"/>
      <c r="K231" s="37"/>
      <c r="L231" s="37"/>
    </row>
    <row r="232" spans="1:12" ht="15.75" customHeight="1" x14ac:dyDescent="0.2">
      <c r="A232" s="37"/>
      <c r="B232" s="37"/>
      <c r="C232" s="37"/>
      <c r="D232" s="37"/>
      <c r="E232" s="37"/>
      <c r="F232" s="37"/>
      <c r="G232" s="37"/>
      <c r="H232" s="37"/>
      <c r="I232" s="37"/>
      <c r="J232" s="37"/>
      <c r="K232" s="37"/>
      <c r="L232" s="37"/>
    </row>
    <row r="233" spans="1:12" ht="15.75" customHeight="1" x14ac:dyDescent="0.2">
      <c r="A233" s="37"/>
      <c r="B233" s="37"/>
      <c r="C233" s="37"/>
      <c r="D233" s="37"/>
      <c r="E233" s="37"/>
      <c r="F233" s="37"/>
      <c r="G233" s="37"/>
      <c r="H233" s="37"/>
      <c r="I233" s="37"/>
      <c r="J233" s="37"/>
      <c r="K233" s="37"/>
      <c r="L233" s="37"/>
    </row>
    <row r="234" spans="1:12" ht="15.75" customHeight="1" x14ac:dyDescent="0.2">
      <c r="A234" s="37"/>
      <c r="B234" s="37"/>
      <c r="C234" s="37"/>
      <c r="D234" s="37"/>
      <c r="E234" s="37"/>
      <c r="F234" s="37"/>
      <c r="G234" s="37"/>
      <c r="H234" s="37"/>
      <c r="I234" s="37"/>
      <c r="J234" s="37"/>
      <c r="K234" s="37"/>
      <c r="L234" s="37"/>
    </row>
    <row r="235" spans="1:12" ht="15.75" customHeight="1" x14ac:dyDescent="0.2">
      <c r="A235" s="37"/>
      <c r="B235" s="37"/>
      <c r="C235" s="37"/>
      <c r="D235" s="37"/>
      <c r="E235" s="37"/>
      <c r="F235" s="37"/>
      <c r="G235" s="37"/>
      <c r="H235" s="37"/>
      <c r="I235" s="37"/>
      <c r="J235" s="37"/>
      <c r="K235" s="37"/>
      <c r="L235" s="37"/>
    </row>
    <row r="236" spans="1:12" ht="15.75" customHeight="1" x14ac:dyDescent="0.2">
      <c r="A236" s="37"/>
      <c r="B236" s="37"/>
      <c r="C236" s="37"/>
      <c r="D236" s="37"/>
      <c r="E236" s="37"/>
      <c r="F236" s="37"/>
      <c r="G236" s="37"/>
      <c r="H236" s="37"/>
      <c r="I236" s="37"/>
      <c r="J236" s="37"/>
      <c r="K236" s="37"/>
      <c r="L236" s="37"/>
    </row>
    <row r="237" spans="1:12" ht="15.75" customHeight="1" x14ac:dyDescent="0.2">
      <c r="A237" s="37"/>
      <c r="B237" s="37"/>
      <c r="C237" s="37"/>
      <c r="D237" s="37"/>
      <c r="E237" s="37"/>
      <c r="F237" s="37"/>
      <c r="G237" s="37"/>
      <c r="H237" s="37"/>
      <c r="I237" s="37"/>
      <c r="J237" s="37"/>
      <c r="K237" s="37"/>
      <c r="L237" s="37"/>
    </row>
    <row r="238" spans="1:12" ht="15.75" customHeight="1" x14ac:dyDescent="0.2">
      <c r="A238" s="37"/>
      <c r="B238" s="37"/>
      <c r="C238" s="37"/>
      <c r="D238" s="37"/>
      <c r="E238" s="37"/>
      <c r="F238" s="37"/>
      <c r="G238" s="37"/>
      <c r="H238" s="37"/>
      <c r="I238" s="37"/>
      <c r="J238" s="37"/>
      <c r="K238" s="37"/>
      <c r="L238" s="37"/>
    </row>
    <row r="239" spans="1:12" ht="15.75" customHeight="1" x14ac:dyDescent="0.2">
      <c r="A239" s="37"/>
      <c r="B239" s="37"/>
      <c r="C239" s="37"/>
      <c r="D239" s="37"/>
      <c r="E239" s="37"/>
      <c r="F239" s="37"/>
      <c r="G239" s="37"/>
      <c r="H239" s="37"/>
      <c r="I239" s="37"/>
      <c r="J239" s="37"/>
      <c r="K239" s="37"/>
      <c r="L239" s="37"/>
    </row>
    <row r="240" spans="1:12" ht="15.75" customHeight="1" x14ac:dyDescent="0.2">
      <c r="A240" s="37"/>
      <c r="B240" s="37"/>
      <c r="C240" s="37"/>
      <c r="D240" s="37"/>
      <c r="E240" s="37"/>
      <c r="F240" s="37"/>
      <c r="G240" s="37"/>
      <c r="H240" s="37"/>
      <c r="I240" s="37"/>
      <c r="J240" s="37"/>
      <c r="K240" s="37"/>
      <c r="L240" s="37"/>
    </row>
    <row r="241" spans="1:12" ht="15.75" customHeight="1" x14ac:dyDescent="0.2">
      <c r="A241" s="37"/>
      <c r="B241" s="37"/>
      <c r="C241" s="37"/>
      <c r="D241" s="37"/>
      <c r="E241" s="37"/>
      <c r="F241" s="37"/>
      <c r="G241" s="37"/>
      <c r="H241" s="37"/>
      <c r="I241" s="37"/>
      <c r="J241" s="37"/>
      <c r="K241" s="37"/>
      <c r="L241" s="37"/>
    </row>
    <row r="242" spans="1:12" ht="15.75" customHeight="1" x14ac:dyDescent="0.2">
      <c r="A242" s="37"/>
      <c r="B242" s="37"/>
      <c r="C242" s="37"/>
      <c r="D242" s="37"/>
      <c r="E242" s="37"/>
      <c r="F242" s="37"/>
      <c r="G242" s="37"/>
      <c r="H242" s="37"/>
      <c r="I242" s="37"/>
      <c r="J242" s="37"/>
      <c r="K242" s="37"/>
      <c r="L242" s="37"/>
    </row>
    <row r="243" spans="1:12" ht="15.75" customHeight="1" x14ac:dyDescent="0.2">
      <c r="A243" s="37"/>
      <c r="B243" s="37"/>
      <c r="C243" s="37"/>
      <c r="D243" s="37"/>
      <c r="E243" s="37"/>
      <c r="F243" s="37"/>
      <c r="G243" s="37"/>
      <c r="H243" s="37"/>
      <c r="I243" s="37"/>
      <c r="J243" s="37"/>
      <c r="K243" s="37"/>
      <c r="L243" s="37"/>
    </row>
    <row r="244" spans="1:12" ht="15.75" customHeight="1" x14ac:dyDescent="0.2">
      <c r="A244" s="37"/>
      <c r="B244" s="37"/>
      <c r="C244" s="37"/>
      <c r="D244" s="37"/>
      <c r="E244" s="37"/>
      <c r="F244" s="37"/>
      <c r="G244" s="37"/>
      <c r="H244" s="37"/>
      <c r="I244" s="37"/>
      <c r="J244" s="37"/>
      <c r="K244" s="37"/>
      <c r="L244" s="37"/>
    </row>
    <row r="245" spans="1:12" ht="15.75" customHeight="1" x14ac:dyDescent="0.2">
      <c r="A245" s="37"/>
      <c r="B245" s="37"/>
      <c r="C245" s="37"/>
      <c r="D245" s="37"/>
      <c r="E245" s="37"/>
      <c r="F245" s="37"/>
      <c r="G245" s="37"/>
      <c r="H245" s="37"/>
      <c r="I245" s="37"/>
      <c r="J245" s="37"/>
      <c r="K245" s="37"/>
      <c r="L245" s="37"/>
    </row>
    <row r="246" spans="1:12" ht="15.75" customHeight="1" x14ac:dyDescent="0.2">
      <c r="A246" s="37"/>
      <c r="B246" s="37"/>
      <c r="C246" s="37"/>
      <c r="D246" s="37"/>
      <c r="E246" s="37"/>
      <c r="F246" s="37"/>
      <c r="G246" s="37"/>
      <c r="H246" s="37"/>
      <c r="I246" s="37"/>
      <c r="J246" s="37"/>
      <c r="K246" s="37"/>
      <c r="L246" s="37"/>
    </row>
    <row r="247" spans="1:12" ht="15.75" customHeight="1" x14ac:dyDescent="0.2">
      <c r="A247" s="37"/>
      <c r="B247" s="37"/>
      <c r="C247" s="37"/>
      <c r="D247" s="37"/>
      <c r="E247" s="37"/>
      <c r="F247" s="37"/>
      <c r="G247" s="37"/>
      <c r="H247" s="37"/>
      <c r="I247" s="37"/>
      <c r="J247" s="37"/>
      <c r="K247" s="37"/>
      <c r="L247" s="37"/>
    </row>
    <row r="248" spans="1:12" ht="15.75" customHeight="1" x14ac:dyDescent="0.2">
      <c r="A248" s="37"/>
      <c r="B248" s="37"/>
      <c r="C248" s="37"/>
      <c r="D248" s="37"/>
      <c r="E248" s="37"/>
      <c r="F248" s="37"/>
      <c r="G248" s="37"/>
      <c r="H248" s="37"/>
      <c r="I248" s="37"/>
      <c r="J248" s="37"/>
      <c r="K248" s="37"/>
      <c r="L248" s="37"/>
    </row>
    <row r="249" spans="1:12" ht="15.75" customHeight="1" x14ac:dyDescent="0.2">
      <c r="A249" s="37"/>
      <c r="B249" s="37"/>
      <c r="C249" s="37"/>
      <c r="D249" s="37"/>
      <c r="E249" s="37"/>
      <c r="F249" s="37"/>
      <c r="G249" s="37"/>
      <c r="H249" s="37"/>
      <c r="I249" s="37"/>
      <c r="J249" s="37"/>
      <c r="K249" s="37"/>
      <c r="L249" s="37"/>
    </row>
    <row r="250" spans="1:12" ht="15.75" customHeight="1" x14ac:dyDescent="0.2">
      <c r="A250" s="37"/>
      <c r="B250" s="37"/>
      <c r="C250" s="37"/>
      <c r="D250" s="37"/>
      <c r="E250" s="37"/>
      <c r="F250" s="37"/>
      <c r="G250" s="37"/>
      <c r="H250" s="37"/>
      <c r="I250" s="37"/>
      <c r="J250" s="37"/>
      <c r="K250" s="37"/>
      <c r="L250" s="37"/>
    </row>
    <row r="251" spans="1:12" ht="15.75" customHeight="1" x14ac:dyDescent="0.2">
      <c r="A251" s="37"/>
      <c r="B251" s="37"/>
      <c r="C251" s="37"/>
      <c r="D251" s="37"/>
      <c r="E251" s="37"/>
      <c r="F251" s="37"/>
      <c r="G251" s="37"/>
      <c r="H251" s="37"/>
      <c r="I251" s="37"/>
      <c r="J251" s="37"/>
      <c r="K251" s="37"/>
      <c r="L251" s="37"/>
    </row>
    <row r="252" spans="1:12" ht="15.75" customHeight="1" x14ac:dyDescent="0.2">
      <c r="A252" s="37"/>
      <c r="B252" s="37"/>
      <c r="C252" s="37"/>
      <c r="D252" s="37"/>
      <c r="E252" s="37"/>
      <c r="F252" s="37"/>
      <c r="G252" s="37"/>
      <c r="H252" s="37"/>
      <c r="I252" s="37"/>
      <c r="J252" s="37"/>
      <c r="K252" s="37"/>
      <c r="L252" s="37"/>
    </row>
    <row r="253" spans="1:12" ht="15.75" customHeight="1" x14ac:dyDescent="0.2">
      <c r="A253" s="37"/>
      <c r="B253" s="37"/>
      <c r="C253" s="37"/>
      <c r="D253" s="37"/>
      <c r="E253" s="37"/>
      <c r="F253" s="37"/>
      <c r="G253" s="37"/>
      <c r="H253" s="37"/>
      <c r="I253" s="37"/>
      <c r="J253" s="37"/>
      <c r="K253" s="37"/>
      <c r="L253" s="37"/>
    </row>
    <row r="254" spans="1:12" ht="15.75" customHeight="1" x14ac:dyDescent="0.2">
      <c r="A254" s="37"/>
      <c r="B254" s="37"/>
      <c r="C254" s="37"/>
      <c r="D254" s="37"/>
      <c r="E254" s="37"/>
      <c r="F254" s="37"/>
      <c r="G254" s="37"/>
      <c r="H254" s="37"/>
      <c r="I254" s="37"/>
      <c r="J254" s="37"/>
      <c r="K254" s="37"/>
      <c r="L254" s="37"/>
    </row>
    <row r="255" spans="1:12" ht="15.75" customHeight="1" x14ac:dyDescent="0.2">
      <c r="A255" s="37"/>
      <c r="B255" s="37"/>
      <c r="C255" s="37"/>
      <c r="D255" s="37"/>
      <c r="E255" s="37"/>
      <c r="F255" s="37"/>
      <c r="G255" s="37"/>
      <c r="H255" s="37"/>
      <c r="I255" s="37"/>
      <c r="J255" s="37"/>
      <c r="K255" s="37"/>
      <c r="L255" s="37"/>
    </row>
    <row r="256" spans="1:12" ht="15.75" customHeight="1" x14ac:dyDescent="0.2">
      <c r="A256" s="37"/>
      <c r="B256" s="37"/>
      <c r="C256" s="37"/>
      <c r="D256" s="37"/>
      <c r="E256" s="37"/>
      <c r="F256" s="37"/>
      <c r="G256" s="37"/>
      <c r="H256" s="37"/>
      <c r="I256" s="37"/>
      <c r="J256" s="37"/>
      <c r="K256" s="37"/>
      <c r="L256" s="37"/>
    </row>
    <row r="257" spans="1:12" ht="15.75" customHeight="1" x14ac:dyDescent="0.2">
      <c r="A257" s="37"/>
      <c r="B257" s="37"/>
      <c r="C257" s="37"/>
      <c r="D257" s="37"/>
      <c r="E257" s="37"/>
      <c r="F257" s="37"/>
      <c r="G257" s="37"/>
      <c r="H257" s="37"/>
      <c r="I257" s="37"/>
      <c r="J257" s="37"/>
      <c r="K257" s="37"/>
      <c r="L257" s="37"/>
    </row>
    <row r="258" spans="1:12" ht="15.75" customHeight="1" x14ac:dyDescent="0.2">
      <c r="A258" s="37"/>
      <c r="B258" s="37"/>
      <c r="C258" s="37"/>
      <c r="D258" s="37"/>
      <c r="E258" s="37"/>
      <c r="F258" s="37"/>
      <c r="G258" s="37"/>
      <c r="H258" s="37"/>
      <c r="I258" s="37"/>
      <c r="J258" s="37"/>
      <c r="K258" s="37"/>
      <c r="L258" s="37"/>
    </row>
    <row r="259" spans="1:12" ht="15.75" customHeight="1" x14ac:dyDescent="0.2">
      <c r="A259" s="37"/>
      <c r="B259" s="37"/>
      <c r="C259" s="37"/>
      <c r="D259" s="37"/>
      <c r="E259" s="37"/>
      <c r="F259" s="37"/>
      <c r="G259" s="37"/>
      <c r="H259" s="37"/>
      <c r="I259" s="37"/>
      <c r="J259" s="37"/>
      <c r="K259" s="37"/>
      <c r="L259" s="37"/>
    </row>
    <row r="260" spans="1:12" ht="15.75" customHeight="1" x14ac:dyDescent="0.2">
      <c r="A260" s="37"/>
      <c r="B260" s="37"/>
      <c r="C260" s="37"/>
      <c r="D260" s="37"/>
      <c r="E260" s="37"/>
      <c r="F260" s="37"/>
      <c r="G260" s="37"/>
      <c r="H260" s="37"/>
      <c r="I260" s="37"/>
      <c r="J260" s="37"/>
      <c r="K260" s="37"/>
      <c r="L260" s="37"/>
    </row>
    <row r="261" spans="1:12" ht="15.75" customHeight="1" x14ac:dyDescent="0.2">
      <c r="A261" s="37"/>
      <c r="B261" s="37"/>
      <c r="C261" s="37"/>
      <c r="D261" s="37"/>
      <c r="E261" s="37"/>
      <c r="F261" s="37"/>
      <c r="G261" s="37"/>
      <c r="H261" s="37"/>
      <c r="I261" s="37"/>
      <c r="J261" s="37"/>
      <c r="K261" s="37"/>
      <c r="L261" s="37"/>
    </row>
    <row r="262" spans="1:12" ht="15.75" customHeight="1" x14ac:dyDescent="0.2">
      <c r="A262" s="37"/>
      <c r="B262" s="37"/>
      <c r="C262" s="37"/>
      <c r="D262" s="37"/>
      <c r="E262" s="37"/>
      <c r="F262" s="37"/>
      <c r="G262" s="37"/>
      <c r="H262" s="37"/>
      <c r="I262" s="37"/>
      <c r="J262" s="37"/>
      <c r="K262" s="37"/>
      <c r="L262" s="37"/>
    </row>
    <row r="263" spans="1:12" ht="15.75" customHeight="1" x14ac:dyDescent="0.2">
      <c r="A263" s="37"/>
      <c r="B263" s="37"/>
      <c r="C263" s="37"/>
      <c r="D263" s="37"/>
      <c r="E263" s="37"/>
      <c r="F263" s="37"/>
      <c r="G263" s="37"/>
      <c r="H263" s="37"/>
      <c r="I263" s="37"/>
      <c r="J263" s="37"/>
      <c r="K263" s="37"/>
      <c r="L263" s="37"/>
    </row>
    <row r="264" spans="1:12" ht="15.75" customHeight="1" x14ac:dyDescent="0.2">
      <c r="A264" s="37"/>
      <c r="B264" s="37"/>
      <c r="C264" s="37"/>
      <c r="D264" s="37"/>
      <c r="E264" s="37"/>
      <c r="F264" s="37"/>
      <c r="G264" s="37"/>
      <c r="H264" s="37"/>
      <c r="I264" s="37"/>
      <c r="J264" s="37"/>
      <c r="K264" s="37"/>
      <c r="L264" s="37"/>
    </row>
    <row r="265" spans="1:12" ht="15.75" customHeight="1" x14ac:dyDescent="0.2">
      <c r="A265" s="37"/>
      <c r="B265" s="37"/>
      <c r="C265" s="37"/>
      <c r="D265" s="37"/>
      <c r="E265" s="37"/>
      <c r="F265" s="37"/>
      <c r="G265" s="37"/>
      <c r="H265" s="37"/>
      <c r="I265" s="37"/>
      <c r="J265" s="37"/>
      <c r="K265" s="37"/>
      <c r="L265" s="37"/>
    </row>
    <row r="266" spans="1:12" ht="15.75" customHeight="1" x14ac:dyDescent="0.2">
      <c r="A266" s="37"/>
      <c r="B266" s="37"/>
      <c r="C266" s="37"/>
      <c r="D266" s="37"/>
      <c r="E266" s="37"/>
      <c r="F266" s="37"/>
      <c r="G266" s="37"/>
      <c r="H266" s="37"/>
      <c r="I266" s="37"/>
      <c r="J266" s="37"/>
      <c r="K266" s="37"/>
      <c r="L266" s="37"/>
    </row>
    <row r="267" spans="1:12" ht="15.75" customHeight="1" x14ac:dyDescent="0.2">
      <c r="A267" s="37"/>
      <c r="B267" s="37"/>
      <c r="C267" s="37"/>
      <c r="D267" s="37"/>
      <c r="E267" s="37"/>
      <c r="F267" s="37"/>
      <c r="G267" s="37"/>
      <c r="H267" s="37"/>
      <c r="I267" s="37"/>
      <c r="J267" s="37"/>
      <c r="K267" s="37"/>
      <c r="L267" s="37"/>
    </row>
    <row r="268" spans="1:12" ht="15.75" customHeight="1" x14ac:dyDescent="0.2">
      <c r="A268" s="37"/>
      <c r="B268" s="37"/>
      <c r="C268" s="37"/>
      <c r="D268" s="37"/>
      <c r="E268" s="37"/>
      <c r="F268" s="37"/>
      <c r="G268" s="37"/>
      <c r="H268" s="37"/>
      <c r="I268" s="37"/>
      <c r="J268" s="37"/>
      <c r="K268" s="37"/>
      <c r="L268" s="37"/>
    </row>
    <row r="269" spans="1:12" ht="15.75" customHeight="1" x14ac:dyDescent="0.2">
      <c r="A269" s="37"/>
      <c r="B269" s="37"/>
      <c r="C269" s="37"/>
      <c r="D269" s="37"/>
      <c r="E269" s="37"/>
      <c r="F269" s="37"/>
      <c r="G269" s="37"/>
      <c r="H269" s="37"/>
      <c r="I269" s="37"/>
      <c r="J269" s="37"/>
      <c r="K269" s="37"/>
      <c r="L269" s="37"/>
    </row>
    <row r="270" spans="1:12" ht="15.75" customHeight="1" x14ac:dyDescent="0.2">
      <c r="A270" s="37"/>
      <c r="B270" s="37"/>
      <c r="C270" s="37"/>
      <c r="D270" s="37"/>
      <c r="E270" s="37"/>
      <c r="F270" s="37"/>
      <c r="G270" s="37"/>
      <c r="H270" s="37"/>
      <c r="I270" s="37"/>
      <c r="J270" s="37"/>
      <c r="K270" s="37"/>
      <c r="L270" s="37"/>
    </row>
    <row r="271" spans="1:12" ht="15.75" customHeight="1" x14ac:dyDescent="0.2">
      <c r="A271" s="37"/>
      <c r="B271" s="37"/>
      <c r="C271" s="37"/>
      <c r="D271" s="37"/>
      <c r="E271" s="37"/>
      <c r="F271" s="37"/>
      <c r="G271" s="37"/>
      <c r="H271" s="37"/>
      <c r="I271" s="37"/>
      <c r="J271" s="37"/>
      <c r="K271" s="37"/>
      <c r="L271" s="37"/>
    </row>
    <row r="272" spans="1:12" ht="15.75" customHeight="1" x14ac:dyDescent="0.2">
      <c r="A272" s="37"/>
      <c r="B272" s="37"/>
      <c r="C272" s="37"/>
      <c r="D272" s="37"/>
      <c r="E272" s="37"/>
      <c r="F272" s="37"/>
      <c r="G272" s="37"/>
      <c r="H272" s="37"/>
      <c r="I272" s="37"/>
      <c r="J272" s="37"/>
      <c r="K272" s="37"/>
      <c r="L272" s="37"/>
    </row>
    <row r="273" spans="1:12" ht="15.75" customHeight="1" x14ac:dyDescent="0.2">
      <c r="A273" s="37"/>
      <c r="B273" s="37"/>
      <c r="C273" s="37"/>
      <c r="D273" s="37"/>
      <c r="E273" s="37"/>
      <c r="F273" s="37"/>
      <c r="G273" s="37"/>
      <c r="H273" s="37"/>
      <c r="I273" s="37"/>
      <c r="J273" s="37"/>
      <c r="K273" s="37"/>
      <c r="L273" s="37"/>
    </row>
    <row r="274" spans="1:12" ht="15.75" customHeight="1" x14ac:dyDescent="0.2">
      <c r="A274" s="37"/>
      <c r="B274" s="37"/>
      <c r="C274" s="37"/>
      <c r="D274" s="37"/>
      <c r="E274" s="37"/>
      <c r="F274" s="37"/>
      <c r="G274" s="37"/>
      <c r="H274" s="37"/>
      <c r="I274" s="37"/>
      <c r="J274" s="37"/>
      <c r="K274" s="37"/>
      <c r="L274" s="37"/>
    </row>
    <row r="275" spans="1:12" ht="15.75" customHeight="1" x14ac:dyDescent="0.2">
      <c r="A275" s="37"/>
      <c r="B275" s="37"/>
      <c r="C275" s="37"/>
      <c r="D275" s="37"/>
      <c r="E275" s="37"/>
      <c r="F275" s="37"/>
      <c r="G275" s="37"/>
      <c r="H275" s="37"/>
      <c r="I275" s="37"/>
      <c r="J275" s="37"/>
      <c r="K275" s="37"/>
      <c r="L275" s="37"/>
    </row>
    <row r="276" spans="1:12" ht="15.75" customHeight="1" x14ac:dyDescent="0.2">
      <c r="A276" s="37"/>
      <c r="B276" s="37"/>
      <c r="C276" s="37"/>
      <c r="D276" s="37"/>
      <c r="E276" s="37"/>
      <c r="F276" s="37"/>
      <c r="G276" s="37"/>
      <c r="H276" s="37"/>
      <c r="I276" s="37"/>
      <c r="J276" s="37"/>
      <c r="K276" s="37"/>
      <c r="L276" s="37"/>
    </row>
    <row r="277" spans="1:12" ht="15.75" customHeight="1" x14ac:dyDescent="0.2">
      <c r="A277" s="37"/>
      <c r="B277" s="37"/>
      <c r="C277" s="37"/>
      <c r="D277" s="37"/>
      <c r="E277" s="37"/>
      <c r="F277" s="37"/>
      <c r="G277" s="37"/>
      <c r="H277" s="37"/>
      <c r="I277" s="37"/>
      <c r="J277" s="37"/>
      <c r="K277" s="37"/>
      <c r="L277" s="37"/>
    </row>
    <row r="278" spans="1:12" ht="15.75" customHeight="1" x14ac:dyDescent="0.2">
      <c r="A278" s="37"/>
      <c r="B278" s="37"/>
      <c r="C278" s="37"/>
      <c r="D278" s="37"/>
      <c r="E278" s="37"/>
      <c r="F278" s="37"/>
      <c r="G278" s="37"/>
      <c r="H278" s="37"/>
      <c r="I278" s="37"/>
      <c r="J278" s="37"/>
      <c r="K278" s="37"/>
      <c r="L278" s="37"/>
    </row>
    <row r="279" spans="1:12" ht="15.75" customHeight="1" x14ac:dyDescent="0.2">
      <c r="A279" s="37"/>
      <c r="B279" s="37"/>
      <c r="C279" s="37"/>
      <c r="D279" s="37"/>
      <c r="E279" s="37"/>
      <c r="F279" s="37"/>
      <c r="G279" s="37"/>
      <c r="H279" s="37"/>
      <c r="I279" s="37"/>
      <c r="J279" s="37"/>
      <c r="K279" s="37"/>
      <c r="L279" s="37"/>
    </row>
    <row r="280" spans="1:12" ht="15.75" customHeight="1" x14ac:dyDescent="0.2">
      <c r="A280" s="37"/>
      <c r="B280" s="37"/>
      <c r="C280" s="37"/>
      <c r="D280" s="37"/>
      <c r="E280" s="37"/>
      <c r="F280" s="37"/>
      <c r="G280" s="37"/>
      <c r="H280" s="37"/>
      <c r="I280" s="37"/>
      <c r="J280" s="37"/>
      <c r="K280" s="37"/>
      <c r="L280" s="37"/>
    </row>
    <row r="281" spans="1:12" ht="15.75" customHeight="1" x14ac:dyDescent="0.2">
      <c r="A281" s="37"/>
      <c r="B281" s="37"/>
      <c r="C281" s="37"/>
      <c r="D281" s="37"/>
      <c r="E281" s="37"/>
      <c r="F281" s="37"/>
      <c r="G281" s="37"/>
      <c r="H281" s="37"/>
      <c r="I281" s="37"/>
      <c r="J281" s="37"/>
      <c r="K281" s="37"/>
      <c r="L281" s="37"/>
    </row>
    <row r="282" spans="1:12" ht="15.75" customHeight="1" x14ac:dyDescent="0.2">
      <c r="A282" s="37"/>
      <c r="B282" s="37"/>
      <c r="C282" s="37"/>
      <c r="D282" s="37"/>
      <c r="E282" s="37"/>
      <c r="F282" s="37"/>
      <c r="G282" s="37"/>
      <c r="H282" s="37"/>
      <c r="I282" s="37"/>
      <c r="J282" s="37"/>
      <c r="K282" s="37"/>
      <c r="L282" s="37"/>
    </row>
    <row r="283" spans="1:12" ht="15.75" customHeight="1" x14ac:dyDescent="0.2">
      <c r="A283" s="37"/>
      <c r="B283" s="37"/>
      <c r="C283" s="37"/>
      <c r="D283" s="37"/>
      <c r="E283" s="37"/>
      <c r="F283" s="37"/>
      <c r="G283" s="37"/>
      <c r="H283" s="37"/>
      <c r="I283" s="37"/>
      <c r="J283" s="37"/>
      <c r="K283" s="37"/>
      <c r="L283" s="37"/>
    </row>
    <row r="284" spans="1:12" ht="15.75" customHeight="1" x14ac:dyDescent="0.2">
      <c r="A284" s="37"/>
      <c r="B284" s="37"/>
      <c r="C284" s="37"/>
      <c r="D284" s="37"/>
      <c r="E284" s="37"/>
      <c r="F284" s="37"/>
      <c r="G284" s="37"/>
      <c r="H284" s="37"/>
      <c r="I284" s="37"/>
      <c r="J284" s="37"/>
      <c r="K284" s="37"/>
      <c r="L284" s="37"/>
    </row>
    <row r="285" spans="1:12" ht="15.75" customHeight="1" x14ac:dyDescent="0.2">
      <c r="A285" s="37"/>
      <c r="B285" s="37"/>
      <c r="C285" s="37"/>
      <c r="D285" s="37"/>
      <c r="E285" s="37"/>
      <c r="F285" s="37"/>
      <c r="G285" s="37"/>
      <c r="H285" s="37"/>
      <c r="I285" s="37"/>
      <c r="J285" s="37"/>
      <c r="K285" s="37"/>
      <c r="L285" s="37"/>
    </row>
    <row r="286" spans="1:12" ht="15.75" customHeight="1" x14ac:dyDescent="0.2">
      <c r="A286" s="37"/>
      <c r="B286" s="37"/>
      <c r="C286" s="37"/>
      <c r="D286" s="37"/>
      <c r="E286" s="37"/>
      <c r="F286" s="37"/>
      <c r="G286" s="37"/>
      <c r="H286" s="37"/>
      <c r="I286" s="37"/>
      <c r="J286" s="37"/>
      <c r="K286" s="37"/>
      <c r="L286" s="37"/>
    </row>
    <row r="287" spans="1:12" ht="15.75" customHeight="1" x14ac:dyDescent="0.2">
      <c r="A287" s="37"/>
      <c r="B287" s="37"/>
      <c r="C287" s="37"/>
      <c r="D287" s="37"/>
      <c r="E287" s="37"/>
      <c r="F287" s="37"/>
      <c r="G287" s="37"/>
      <c r="H287" s="37"/>
      <c r="I287" s="37"/>
      <c r="J287" s="37"/>
      <c r="K287" s="37"/>
      <c r="L287" s="37"/>
    </row>
    <row r="288" spans="1:12" ht="15.75" customHeight="1" x14ac:dyDescent="0.2">
      <c r="A288" s="37"/>
      <c r="B288" s="37"/>
      <c r="C288" s="37"/>
      <c r="D288" s="37"/>
      <c r="E288" s="37"/>
      <c r="F288" s="37"/>
      <c r="G288" s="37"/>
      <c r="H288" s="37"/>
      <c r="I288" s="37"/>
      <c r="J288" s="37"/>
      <c r="K288" s="37"/>
      <c r="L288" s="37"/>
    </row>
    <row r="289" spans="1:12" ht="15.75" customHeight="1" x14ac:dyDescent="0.2">
      <c r="A289" s="37"/>
      <c r="B289" s="37"/>
      <c r="C289" s="37"/>
      <c r="D289" s="37"/>
      <c r="E289" s="37"/>
      <c r="F289" s="37"/>
      <c r="G289" s="37"/>
      <c r="H289" s="37"/>
      <c r="I289" s="37"/>
      <c r="J289" s="37"/>
      <c r="K289" s="37"/>
      <c r="L289" s="37"/>
    </row>
    <row r="290" spans="1:12" ht="15.75" customHeight="1" x14ac:dyDescent="0.2">
      <c r="A290" s="37"/>
      <c r="B290" s="37"/>
      <c r="C290" s="37"/>
      <c r="D290" s="37"/>
      <c r="E290" s="37"/>
      <c r="F290" s="37"/>
      <c r="G290" s="37"/>
      <c r="H290" s="37"/>
      <c r="I290" s="37"/>
      <c r="J290" s="37"/>
      <c r="K290" s="37"/>
      <c r="L290" s="37"/>
    </row>
    <row r="291" spans="1:12" ht="15.75" customHeight="1" x14ac:dyDescent="0.2">
      <c r="A291" s="37"/>
      <c r="B291" s="37"/>
      <c r="C291" s="37"/>
      <c r="D291" s="37"/>
      <c r="E291" s="37"/>
      <c r="F291" s="37"/>
      <c r="G291" s="37"/>
      <c r="H291" s="37"/>
      <c r="I291" s="37"/>
      <c r="J291" s="37"/>
      <c r="K291" s="37"/>
      <c r="L291" s="37"/>
    </row>
    <row r="292" spans="1:12" ht="15.75" customHeight="1" x14ac:dyDescent="0.2">
      <c r="A292" s="37"/>
      <c r="B292" s="37"/>
      <c r="C292" s="37"/>
      <c r="D292" s="37"/>
      <c r="E292" s="37"/>
      <c r="F292" s="37"/>
      <c r="G292" s="37"/>
      <c r="H292" s="37"/>
      <c r="I292" s="37"/>
      <c r="J292" s="37"/>
      <c r="K292" s="37"/>
      <c r="L292" s="37"/>
    </row>
    <row r="293" spans="1:12" ht="15.75" customHeight="1" x14ac:dyDescent="0.2">
      <c r="A293" s="37"/>
      <c r="B293" s="37"/>
      <c r="C293" s="37"/>
      <c r="D293" s="37"/>
      <c r="E293" s="37"/>
      <c r="F293" s="37"/>
      <c r="G293" s="37"/>
      <c r="H293" s="37"/>
      <c r="I293" s="37"/>
      <c r="J293" s="37"/>
      <c r="K293" s="37"/>
      <c r="L293" s="37"/>
    </row>
    <row r="294" spans="1:12" ht="15.75" customHeight="1" x14ac:dyDescent="0.2">
      <c r="A294" s="37"/>
      <c r="B294" s="37"/>
      <c r="C294" s="37"/>
      <c r="D294" s="37"/>
      <c r="E294" s="37"/>
      <c r="F294" s="37"/>
      <c r="G294" s="37"/>
      <c r="H294" s="37"/>
      <c r="I294" s="37"/>
      <c r="J294" s="37"/>
      <c r="K294" s="37"/>
      <c r="L294" s="37"/>
    </row>
    <row r="295" spans="1:12" ht="15.75" customHeight="1" x14ac:dyDescent="0.2">
      <c r="A295" s="37"/>
      <c r="B295" s="37"/>
      <c r="C295" s="37"/>
      <c r="D295" s="37"/>
      <c r="E295" s="37"/>
      <c r="F295" s="37"/>
      <c r="G295" s="37"/>
      <c r="H295" s="37"/>
      <c r="I295" s="37"/>
      <c r="J295" s="37"/>
      <c r="K295" s="37"/>
      <c r="L295" s="37"/>
    </row>
    <row r="296" spans="1:12" ht="15.75" customHeight="1" x14ac:dyDescent="0.2">
      <c r="A296" s="37"/>
      <c r="B296" s="37"/>
      <c r="C296" s="37"/>
      <c r="D296" s="37"/>
      <c r="E296" s="37"/>
      <c r="F296" s="37"/>
      <c r="G296" s="37"/>
      <c r="H296" s="37"/>
      <c r="I296" s="37"/>
      <c r="J296" s="37"/>
      <c r="K296" s="37"/>
      <c r="L296" s="37"/>
    </row>
    <row r="297" spans="1:12" ht="15.75" customHeight="1" x14ac:dyDescent="0.2">
      <c r="A297" s="37"/>
      <c r="B297" s="37"/>
      <c r="C297" s="37"/>
      <c r="D297" s="37"/>
      <c r="E297" s="37"/>
      <c r="F297" s="37"/>
      <c r="G297" s="37"/>
      <c r="H297" s="37"/>
      <c r="I297" s="37"/>
      <c r="J297" s="37"/>
      <c r="K297" s="37"/>
      <c r="L297" s="37"/>
    </row>
    <row r="298" spans="1:12" ht="15.75" customHeight="1" x14ac:dyDescent="0.2">
      <c r="A298" s="37"/>
      <c r="B298" s="37"/>
      <c r="C298" s="37"/>
      <c r="D298" s="37"/>
      <c r="E298" s="37"/>
      <c r="F298" s="37"/>
      <c r="G298" s="37"/>
      <c r="H298" s="37"/>
      <c r="I298" s="37"/>
      <c r="J298" s="37"/>
      <c r="K298" s="37"/>
      <c r="L298" s="37"/>
    </row>
    <row r="299" spans="1:12" ht="15.75" customHeight="1" x14ac:dyDescent="0.2">
      <c r="A299" s="37"/>
      <c r="B299" s="37"/>
      <c r="C299" s="37"/>
      <c r="D299" s="37"/>
      <c r="E299" s="37"/>
      <c r="F299" s="37"/>
      <c r="G299" s="37"/>
      <c r="H299" s="37"/>
      <c r="I299" s="37"/>
      <c r="J299" s="37"/>
      <c r="K299" s="37"/>
      <c r="L299" s="37"/>
    </row>
    <row r="300" spans="1:12" ht="15.75" customHeight="1" x14ac:dyDescent="0.2">
      <c r="A300" s="37"/>
      <c r="B300" s="37"/>
      <c r="C300" s="37"/>
      <c r="D300" s="37"/>
      <c r="E300" s="37"/>
      <c r="F300" s="37"/>
      <c r="G300" s="37"/>
      <c r="H300" s="37"/>
      <c r="I300" s="37"/>
      <c r="J300" s="37"/>
      <c r="K300" s="37"/>
      <c r="L300" s="37"/>
    </row>
    <row r="301" spans="1:12" ht="15.75" customHeight="1" x14ac:dyDescent="0.2">
      <c r="A301" s="37"/>
      <c r="B301" s="37"/>
      <c r="C301" s="37"/>
      <c r="D301" s="37"/>
      <c r="E301" s="37"/>
      <c r="F301" s="37"/>
      <c r="G301" s="37"/>
      <c r="H301" s="37"/>
      <c r="I301" s="37"/>
      <c r="J301" s="37"/>
      <c r="K301" s="37"/>
      <c r="L301" s="37"/>
    </row>
    <row r="302" spans="1:12" ht="15.75" customHeight="1" x14ac:dyDescent="0.2">
      <c r="A302" s="37"/>
      <c r="B302" s="37"/>
      <c r="C302" s="37"/>
      <c r="D302" s="37"/>
      <c r="E302" s="37"/>
      <c r="F302" s="37"/>
      <c r="G302" s="37"/>
      <c r="H302" s="37"/>
      <c r="I302" s="37"/>
      <c r="J302" s="37"/>
      <c r="K302" s="37"/>
      <c r="L302" s="37"/>
    </row>
    <row r="303" spans="1:12" ht="15.75" customHeight="1" x14ac:dyDescent="0.2">
      <c r="A303" s="37"/>
      <c r="B303" s="37"/>
      <c r="C303" s="37"/>
      <c r="D303" s="37"/>
      <c r="E303" s="37"/>
      <c r="F303" s="37"/>
      <c r="G303" s="37"/>
      <c r="H303" s="37"/>
      <c r="I303" s="37"/>
      <c r="J303" s="37"/>
      <c r="K303" s="37"/>
      <c r="L303" s="37"/>
    </row>
    <row r="304" spans="1:12" ht="15.75" customHeight="1" x14ac:dyDescent="0.2">
      <c r="A304" s="37"/>
      <c r="B304" s="37"/>
      <c r="C304" s="37"/>
      <c r="D304" s="37"/>
      <c r="E304" s="37"/>
      <c r="F304" s="37"/>
      <c r="G304" s="37"/>
      <c r="H304" s="37"/>
      <c r="I304" s="37"/>
      <c r="J304" s="37"/>
      <c r="K304" s="37"/>
      <c r="L304" s="37"/>
    </row>
    <row r="305" spans="1:12" ht="15.75" customHeight="1" x14ac:dyDescent="0.2">
      <c r="A305" s="37"/>
      <c r="B305" s="37"/>
      <c r="C305" s="37"/>
      <c r="D305" s="37"/>
      <c r="E305" s="37"/>
      <c r="F305" s="37"/>
      <c r="G305" s="37"/>
      <c r="H305" s="37"/>
      <c r="I305" s="37"/>
      <c r="J305" s="37"/>
      <c r="K305" s="37"/>
      <c r="L305" s="37"/>
    </row>
    <row r="306" spans="1:12" ht="15.75" customHeight="1" x14ac:dyDescent="0.2">
      <c r="A306" s="37"/>
      <c r="B306" s="37"/>
      <c r="C306" s="37"/>
      <c r="D306" s="37"/>
      <c r="E306" s="37"/>
      <c r="F306" s="37"/>
      <c r="G306" s="37"/>
      <c r="H306" s="37"/>
      <c r="I306" s="37"/>
      <c r="J306" s="37"/>
      <c r="K306" s="37"/>
      <c r="L306" s="37"/>
    </row>
    <row r="307" spans="1:12" ht="15.75" customHeight="1" x14ac:dyDescent="0.2">
      <c r="A307" s="37"/>
      <c r="B307" s="37"/>
      <c r="C307" s="37"/>
      <c r="D307" s="37"/>
      <c r="E307" s="37"/>
      <c r="F307" s="37"/>
      <c r="G307" s="37"/>
      <c r="H307" s="37"/>
      <c r="I307" s="37"/>
      <c r="J307" s="37"/>
      <c r="K307" s="37"/>
      <c r="L307" s="37"/>
    </row>
    <row r="308" spans="1:12" ht="15.75" customHeight="1" x14ac:dyDescent="0.2">
      <c r="A308" s="37"/>
      <c r="B308" s="37"/>
      <c r="C308" s="37"/>
      <c r="D308" s="37"/>
      <c r="E308" s="37"/>
      <c r="F308" s="37"/>
      <c r="G308" s="37"/>
      <c r="H308" s="37"/>
      <c r="I308" s="37"/>
      <c r="J308" s="37"/>
      <c r="K308" s="37"/>
      <c r="L308" s="37"/>
    </row>
    <row r="309" spans="1:12" ht="15.75" customHeight="1" x14ac:dyDescent="0.2">
      <c r="A309" s="37"/>
      <c r="B309" s="37"/>
      <c r="C309" s="37"/>
      <c r="D309" s="37"/>
      <c r="E309" s="37"/>
      <c r="F309" s="37"/>
      <c r="G309" s="37"/>
      <c r="H309" s="37"/>
      <c r="I309" s="37"/>
      <c r="J309" s="37"/>
      <c r="K309" s="37"/>
      <c r="L309" s="37"/>
    </row>
    <row r="310" spans="1:12" ht="15.75" customHeight="1" x14ac:dyDescent="0.2">
      <c r="A310" s="37"/>
      <c r="B310" s="37"/>
      <c r="C310" s="37"/>
      <c r="D310" s="37"/>
      <c r="E310" s="37"/>
      <c r="F310" s="37"/>
      <c r="G310" s="37"/>
      <c r="H310" s="37"/>
      <c r="I310" s="37"/>
      <c r="J310" s="37"/>
      <c r="K310" s="37"/>
      <c r="L310" s="37"/>
    </row>
    <row r="311" spans="1:12" ht="15.75" customHeight="1" x14ac:dyDescent="0.2">
      <c r="A311" s="37"/>
      <c r="B311" s="37"/>
      <c r="C311" s="37"/>
      <c r="D311" s="37"/>
      <c r="E311" s="37"/>
      <c r="F311" s="37"/>
      <c r="G311" s="37"/>
      <c r="H311" s="37"/>
      <c r="I311" s="37"/>
      <c r="J311" s="37"/>
      <c r="K311" s="37"/>
      <c r="L311" s="37"/>
    </row>
    <row r="312" spans="1:12" ht="15.75" customHeight="1" x14ac:dyDescent="0.2">
      <c r="A312" s="37"/>
      <c r="B312" s="37"/>
      <c r="C312" s="37"/>
      <c r="D312" s="37"/>
      <c r="E312" s="37"/>
      <c r="F312" s="37"/>
      <c r="G312" s="37"/>
      <c r="H312" s="37"/>
      <c r="I312" s="37"/>
      <c r="J312" s="37"/>
      <c r="K312" s="37"/>
      <c r="L312" s="37"/>
    </row>
    <row r="313" spans="1:12" ht="15.75" customHeight="1" x14ac:dyDescent="0.2">
      <c r="A313" s="37"/>
      <c r="B313" s="37"/>
      <c r="C313" s="37"/>
      <c r="D313" s="37"/>
      <c r="E313" s="37"/>
      <c r="F313" s="37"/>
      <c r="G313" s="37"/>
      <c r="H313" s="37"/>
      <c r="I313" s="37"/>
      <c r="J313" s="37"/>
      <c r="K313" s="37"/>
      <c r="L313" s="37"/>
    </row>
    <row r="314" spans="1:12" ht="15.75" customHeight="1" x14ac:dyDescent="0.2">
      <c r="A314" s="37"/>
      <c r="B314" s="37"/>
      <c r="C314" s="37"/>
      <c r="D314" s="37"/>
      <c r="E314" s="37"/>
      <c r="F314" s="37"/>
      <c r="G314" s="37"/>
      <c r="H314" s="37"/>
      <c r="I314" s="37"/>
      <c r="J314" s="37"/>
      <c r="K314" s="37"/>
      <c r="L314" s="37"/>
    </row>
    <row r="315" spans="1:12" ht="15.75" customHeight="1" x14ac:dyDescent="0.2">
      <c r="A315" s="37"/>
      <c r="B315" s="37"/>
      <c r="C315" s="37"/>
      <c r="D315" s="37"/>
      <c r="E315" s="37"/>
      <c r="F315" s="37"/>
      <c r="G315" s="37"/>
      <c r="H315" s="37"/>
      <c r="I315" s="37"/>
      <c r="J315" s="37"/>
      <c r="K315" s="37"/>
      <c r="L315" s="37"/>
    </row>
    <row r="316" spans="1:12" ht="15.75" customHeight="1" x14ac:dyDescent="0.2">
      <c r="A316" s="37"/>
      <c r="B316" s="37"/>
      <c r="C316" s="37"/>
      <c r="D316" s="37"/>
      <c r="E316" s="37"/>
      <c r="F316" s="37"/>
      <c r="G316" s="37"/>
      <c r="H316" s="37"/>
      <c r="I316" s="37"/>
      <c r="J316" s="37"/>
      <c r="K316" s="37"/>
      <c r="L316" s="37"/>
    </row>
    <row r="317" spans="1:12" ht="15.75" customHeight="1" x14ac:dyDescent="0.2">
      <c r="A317" s="37"/>
      <c r="B317" s="37"/>
      <c r="C317" s="37"/>
      <c r="D317" s="37"/>
      <c r="E317" s="37"/>
      <c r="F317" s="37"/>
      <c r="G317" s="37"/>
      <c r="H317" s="37"/>
      <c r="I317" s="37"/>
      <c r="J317" s="37"/>
      <c r="K317" s="37"/>
      <c r="L317" s="37"/>
    </row>
    <row r="318" spans="1:12" ht="15.75" customHeight="1" x14ac:dyDescent="0.2">
      <c r="A318" s="37"/>
      <c r="B318" s="37"/>
      <c r="C318" s="37"/>
      <c r="D318" s="37"/>
      <c r="E318" s="37"/>
      <c r="F318" s="37"/>
      <c r="G318" s="37"/>
      <c r="H318" s="37"/>
      <c r="I318" s="37"/>
      <c r="J318" s="37"/>
      <c r="K318" s="37"/>
      <c r="L318" s="37"/>
    </row>
    <row r="319" spans="1:12" ht="15.75" customHeight="1" x14ac:dyDescent="0.2">
      <c r="A319" s="37"/>
      <c r="B319" s="37"/>
      <c r="C319" s="37"/>
      <c r="D319" s="37"/>
      <c r="E319" s="37"/>
      <c r="F319" s="37"/>
      <c r="G319" s="37"/>
      <c r="H319" s="37"/>
      <c r="I319" s="37"/>
      <c r="J319" s="37"/>
      <c r="K319" s="37"/>
      <c r="L319" s="37"/>
    </row>
    <row r="320" spans="1:12" ht="15.75" customHeight="1" x14ac:dyDescent="0.2">
      <c r="A320" s="37"/>
      <c r="B320" s="37"/>
      <c r="C320" s="37"/>
      <c r="D320" s="37"/>
      <c r="E320" s="37"/>
      <c r="F320" s="37"/>
      <c r="G320" s="37"/>
      <c r="H320" s="37"/>
      <c r="I320" s="37"/>
      <c r="J320" s="37"/>
      <c r="K320" s="37"/>
      <c r="L320" s="37"/>
    </row>
    <row r="321" spans="1:12" ht="15.75" customHeight="1" x14ac:dyDescent="0.2">
      <c r="A321" s="37"/>
      <c r="B321" s="37"/>
      <c r="C321" s="37"/>
      <c r="D321" s="37"/>
      <c r="E321" s="37"/>
      <c r="F321" s="37"/>
      <c r="G321" s="37"/>
      <c r="H321" s="37"/>
      <c r="I321" s="37"/>
      <c r="J321" s="37"/>
      <c r="K321" s="37"/>
      <c r="L321" s="37"/>
    </row>
    <row r="322" spans="1:12" ht="15.75" customHeight="1" x14ac:dyDescent="0.2">
      <c r="A322" s="37"/>
      <c r="B322" s="37"/>
      <c r="C322" s="37"/>
      <c r="D322" s="37"/>
      <c r="E322" s="37"/>
      <c r="F322" s="37"/>
      <c r="G322" s="37"/>
      <c r="H322" s="37"/>
      <c r="I322" s="37"/>
      <c r="J322" s="37"/>
      <c r="K322" s="37"/>
      <c r="L322" s="37"/>
    </row>
    <row r="323" spans="1:12" ht="15.75" customHeight="1" x14ac:dyDescent="0.2">
      <c r="A323" s="37"/>
      <c r="B323" s="37"/>
      <c r="C323" s="37"/>
      <c r="D323" s="37"/>
      <c r="E323" s="37"/>
      <c r="F323" s="37"/>
      <c r="G323" s="37"/>
      <c r="H323" s="37"/>
      <c r="I323" s="37"/>
      <c r="J323" s="37"/>
      <c r="K323" s="37"/>
      <c r="L323" s="37"/>
    </row>
    <row r="324" spans="1:12" ht="15.75" customHeight="1" x14ac:dyDescent="0.2">
      <c r="A324" s="37"/>
      <c r="B324" s="37"/>
      <c r="C324" s="37"/>
      <c r="D324" s="37"/>
      <c r="E324" s="37"/>
      <c r="F324" s="37"/>
      <c r="G324" s="37"/>
      <c r="H324" s="37"/>
      <c r="I324" s="37"/>
      <c r="J324" s="37"/>
      <c r="K324" s="37"/>
      <c r="L324" s="37"/>
    </row>
    <row r="325" spans="1:12" ht="15.75" customHeight="1" x14ac:dyDescent="0.2">
      <c r="A325" s="37"/>
      <c r="B325" s="37"/>
      <c r="C325" s="37"/>
      <c r="D325" s="37"/>
      <c r="E325" s="37"/>
      <c r="F325" s="37"/>
      <c r="G325" s="37"/>
      <c r="H325" s="37"/>
      <c r="I325" s="37"/>
      <c r="J325" s="37"/>
      <c r="K325" s="37"/>
      <c r="L325" s="37"/>
    </row>
    <row r="326" spans="1:12" ht="15.75" customHeight="1" x14ac:dyDescent="0.2">
      <c r="A326" s="37"/>
      <c r="B326" s="37"/>
      <c r="C326" s="37"/>
      <c r="D326" s="37"/>
      <c r="E326" s="37"/>
      <c r="F326" s="37"/>
      <c r="G326" s="37"/>
      <c r="H326" s="37"/>
      <c r="I326" s="37"/>
      <c r="J326" s="37"/>
      <c r="K326" s="37"/>
      <c r="L326" s="37"/>
    </row>
    <row r="327" spans="1:12" ht="15.75" customHeight="1" x14ac:dyDescent="0.2">
      <c r="A327" s="37"/>
      <c r="B327" s="37"/>
      <c r="C327" s="37"/>
      <c r="D327" s="37"/>
      <c r="E327" s="37"/>
      <c r="F327" s="37"/>
      <c r="G327" s="37"/>
      <c r="H327" s="37"/>
      <c r="I327" s="37"/>
      <c r="J327" s="37"/>
      <c r="K327" s="37"/>
      <c r="L327" s="37"/>
    </row>
    <row r="328" spans="1:12" ht="15.75" customHeight="1" x14ac:dyDescent="0.2">
      <c r="A328" s="37"/>
      <c r="B328" s="37"/>
      <c r="C328" s="37"/>
      <c r="D328" s="37"/>
      <c r="E328" s="37"/>
      <c r="F328" s="37"/>
      <c r="G328" s="37"/>
      <c r="H328" s="37"/>
      <c r="I328" s="37"/>
      <c r="J328" s="37"/>
      <c r="K328" s="37"/>
      <c r="L328" s="37"/>
    </row>
    <row r="329" spans="1:12" ht="15.75" customHeight="1" x14ac:dyDescent="0.2">
      <c r="A329" s="37"/>
      <c r="B329" s="37"/>
      <c r="C329" s="37"/>
      <c r="D329" s="37"/>
      <c r="E329" s="37"/>
      <c r="F329" s="37"/>
      <c r="G329" s="37"/>
      <c r="H329" s="37"/>
      <c r="I329" s="37"/>
      <c r="J329" s="37"/>
      <c r="K329" s="37"/>
      <c r="L329" s="37"/>
    </row>
    <row r="330" spans="1:12" ht="15.75" customHeight="1" x14ac:dyDescent="0.2">
      <c r="A330" s="37"/>
      <c r="B330" s="37"/>
      <c r="C330" s="37"/>
      <c r="D330" s="37"/>
      <c r="E330" s="37"/>
      <c r="F330" s="37"/>
      <c r="G330" s="37"/>
      <c r="H330" s="37"/>
      <c r="I330" s="37"/>
      <c r="J330" s="37"/>
      <c r="K330" s="37"/>
      <c r="L330" s="37"/>
    </row>
    <row r="331" spans="1:12" ht="15.75" customHeight="1" x14ac:dyDescent="0.2">
      <c r="A331" s="37"/>
      <c r="B331" s="37"/>
      <c r="C331" s="37"/>
      <c r="D331" s="37"/>
      <c r="E331" s="37"/>
      <c r="F331" s="37"/>
      <c r="G331" s="37"/>
      <c r="H331" s="37"/>
      <c r="I331" s="37"/>
      <c r="J331" s="37"/>
      <c r="K331" s="37"/>
      <c r="L331" s="37"/>
    </row>
    <row r="332" spans="1:12" ht="15.75" customHeight="1" x14ac:dyDescent="0.2">
      <c r="A332" s="37"/>
      <c r="B332" s="37"/>
      <c r="C332" s="37"/>
      <c r="D332" s="37"/>
      <c r="E332" s="37"/>
      <c r="F332" s="37"/>
      <c r="G332" s="37"/>
      <c r="H332" s="37"/>
      <c r="I332" s="37"/>
      <c r="J332" s="37"/>
      <c r="K332" s="37"/>
      <c r="L332" s="37"/>
    </row>
    <row r="333" spans="1:12" ht="15.75" customHeight="1" x14ac:dyDescent="0.2">
      <c r="A333" s="37"/>
      <c r="B333" s="37"/>
      <c r="C333" s="37"/>
      <c r="D333" s="37"/>
      <c r="E333" s="37"/>
      <c r="F333" s="37"/>
      <c r="G333" s="37"/>
      <c r="H333" s="37"/>
      <c r="I333" s="37"/>
      <c r="J333" s="37"/>
      <c r="K333" s="37"/>
      <c r="L333" s="37"/>
    </row>
    <row r="334" spans="1:12" ht="15.75" customHeight="1" x14ac:dyDescent="0.2">
      <c r="A334" s="37"/>
      <c r="B334" s="37"/>
      <c r="C334" s="37"/>
      <c r="D334" s="37"/>
      <c r="E334" s="37"/>
      <c r="F334" s="37"/>
      <c r="G334" s="37"/>
      <c r="H334" s="37"/>
      <c r="I334" s="37"/>
      <c r="J334" s="37"/>
      <c r="K334" s="37"/>
      <c r="L334" s="37"/>
    </row>
    <row r="335" spans="1:12" ht="15.75" customHeight="1" x14ac:dyDescent="0.2">
      <c r="A335" s="37"/>
      <c r="B335" s="37"/>
      <c r="C335" s="37"/>
      <c r="D335" s="37"/>
      <c r="E335" s="37"/>
      <c r="F335" s="37"/>
      <c r="G335" s="37"/>
      <c r="H335" s="37"/>
      <c r="I335" s="37"/>
      <c r="J335" s="37"/>
      <c r="K335" s="37"/>
      <c r="L335" s="37"/>
    </row>
    <row r="336" spans="1:12" ht="15.75" customHeight="1" x14ac:dyDescent="0.2">
      <c r="A336" s="37"/>
      <c r="B336" s="37"/>
      <c r="C336" s="37"/>
      <c r="D336" s="37"/>
      <c r="E336" s="37"/>
      <c r="F336" s="37"/>
      <c r="G336" s="37"/>
      <c r="H336" s="37"/>
      <c r="I336" s="37"/>
      <c r="J336" s="37"/>
      <c r="K336" s="37"/>
      <c r="L336" s="37"/>
    </row>
    <row r="337" spans="1:12" ht="15.75" customHeight="1" x14ac:dyDescent="0.2">
      <c r="A337" s="37"/>
      <c r="B337" s="37"/>
      <c r="C337" s="37"/>
      <c r="D337" s="37"/>
      <c r="E337" s="37"/>
      <c r="F337" s="37"/>
      <c r="G337" s="37"/>
      <c r="H337" s="37"/>
      <c r="I337" s="37"/>
      <c r="J337" s="37"/>
      <c r="K337" s="37"/>
      <c r="L337" s="37"/>
    </row>
    <row r="338" spans="1:12" ht="15.75" customHeight="1" x14ac:dyDescent="0.2">
      <c r="A338" s="37"/>
      <c r="B338" s="37"/>
      <c r="C338" s="37"/>
      <c r="D338" s="37"/>
      <c r="E338" s="37"/>
      <c r="F338" s="37"/>
      <c r="G338" s="37"/>
      <c r="H338" s="37"/>
      <c r="I338" s="37"/>
      <c r="J338" s="37"/>
      <c r="K338" s="37"/>
      <c r="L338" s="37"/>
    </row>
    <row r="339" spans="1:12" ht="15.75" customHeight="1" x14ac:dyDescent="0.2">
      <c r="A339" s="37"/>
      <c r="B339" s="37"/>
      <c r="C339" s="37"/>
      <c r="D339" s="37"/>
      <c r="E339" s="37"/>
      <c r="F339" s="37"/>
      <c r="G339" s="37"/>
      <c r="H339" s="37"/>
      <c r="I339" s="37"/>
      <c r="J339" s="37"/>
      <c r="K339" s="37"/>
      <c r="L339" s="37"/>
    </row>
    <row r="340" spans="1:12" ht="15.75" customHeight="1" x14ac:dyDescent="0.2">
      <c r="A340" s="37"/>
      <c r="B340" s="37"/>
      <c r="C340" s="37"/>
      <c r="D340" s="37"/>
      <c r="E340" s="37"/>
      <c r="F340" s="37"/>
      <c r="G340" s="37"/>
      <c r="H340" s="37"/>
      <c r="I340" s="37"/>
      <c r="J340" s="37"/>
      <c r="K340" s="37"/>
      <c r="L340" s="37"/>
    </row>
    <row r="341" spans="1:12" ht="15.75" customHeight="1" x14ac:dyDescent="0.2">
      <c r="A341" s="37"/>
      <c r="B341" s="37"/>
      <c r="C341" s="37"/>
      <c r="D341" s="37"/>
      <c r="E341" s="37"/>
      <c r="F341" s="37"/>
      <c r="G341" s="37"/>
      <c r="H341" s="37"/>
      <c r="I341" s="37"/>
      <c r="J341" s="37"/>
      <c r="K341" s="37"/>
      <c r="L341" s="37"/>
    </row>
    <row r="342" spans="1:12" ht="15.75" customHeight="1" x14ac:dyDescent="0.2">
      <c r="A342" s="37"/>
      <c r="B342" s="37"/>
      <c r="C342" s="37"/>
      <c r="D342" s="37"/>
      <c r="E342" s="37"/>
      <c r="F342" s="37"/>
      <c r="G342" s="37"/>
      <c r="H342" s="37"/>
      <c r="I342" s="37"/>
      <c r="J342" s="37"/>
      <c r="K342" s="37"/>
      <c r="L342" s="37"/>
    </row>
    <row r="343" spans="1:12" ht="15.75" customHeight="1" x14ac:dyDescent="0.2">
      <c r="A343" s="37"/>
      <c r="B343" s="37"/>
      <c r="C343" s="37"/>
      <c r="D343" s="37"/>
      <c r="E343" s="37"/>
      <c r="F343" s="37"/>
      <c r="G343" s="37"/>
      <c r="H343" s="37"/>
      <c r="I343" s="37"/>
      <c r="J343" s="37"/>
      <c r="K343" s="37"/>
      <c r="L343" s="37"/>
    </row>
    <row r="344" spans="1:12" ht="15.75" customHeight="1" x14ac:dyDescent="0.2">
      <c r="A344" s="37"/>
      <c r="B344" s="37"/>
      <c r="C344" s="37"/>
      <c r="D344" s="37"/>
      <c r="E344" s="37"/>
      <c r="F344" s="37"/>
      <c r="G344" s="37"/>
      <c r="H344" s="37"/>
      <c r="I344" s="37"/>
      <c r="J344" s="37"/>
      <c r="K344" s="37"/>
      <c r="L344" s="37"/>
    </row>
    <row r="345" spans="1:12" ht="15.75" customHeight="1" x14ac:dyDescent="0.2">
      <c r="A345" s="37"/>
      <c r="B345" s="37"/>
      <c r="C345" s="37"/>
      <c r="D345" s="37"/>
      <c r="E345" s="37"/>
      <c r="F345" s="37"/>
      <c r="G345" s="37"/>
      <c r="H345" s="37"/>
      <c r="I345" s="37"/>
      <c r="J345" s="37"/>
      <c r="K345" s="37"/>
      <c r="L345" s="37"/>
    </row>
    <row r="346" spans="1:12" ht="15.75" customHeight="1" x14ac:dyDescent="0.2">
      <c r="A346" s="37"/>
      <c r="B346" s="37"/>
      <c r="C346" s="37"/>
      <c r="D346" s="37"/>
      <c r="E346" s="37"/>
      <c r="F346" s="37"/>
      <c r="G346" s="37"/>
      <c r="H346" s="37"/>
      <c r="I346" s="37"/>
      <c r="J346" s="37"/>
      <c r="K346" s="37"/>
      <c r="L346" s="37"/>
    </row>
    <row r="347" spans="1:12" ht="15.75" customHeight="1" x14ac:dyDescent="0.2">
      <c r="A347" s="37"/>
      <c r="B347" s="37"/>
      <c r="C347" s="37"/>
      <c r="D347" s="37"/>
      <c r="E347" s="37"/>
      <c r="F347" s="37"/>
      <c r="G347" s="37"/>
      <c r="H347" s="37"/>
      <c r="I347" s="37"/>
      <c r="J347" s="37"/>
      <c r="K347" s="37"/>
      <c r="L347" s="37"/>
    </row>
    <row r="348" spans="1:12" ht="15.75" customHeight="1" x14ac:dyDescent="0.2">
      <c r="A348" s="37"/>
      <c r="B348" s="37"/>
      <c r="C348" s="37"/>
      <c r="D348" s="37"/>
      <c r="E348" s="37"/>
      <c r="F348" s="37"/>
      <c r="G348" s="37"/>
      <c r="H348" s="37"/>
      <c r="I348" s="37"/>
      <c r="J348" s="37"/>
      <c r="K348" s="37"/>
      <c r="L348" s="37"/>
    </row>
    <row r="349" spans="1:12" ht="15.75" customHeight="1" x14ac:dyDescent="0.2">
      <c r="A349" s="37"/>
      <c r="B349" s="37"/>
      <c r="C349" s="37"/>
      <c r="D349" s="37"/>
      <c r="E349" s="37"/>
      <c r="F349" s="37"/>
      <c r="G349" s="37"/>
      <c r="H349" s="37"/>
      <c r="I349" s="37"/>
      <c r="J349" s="37"/>
      <c r="K349" s="37"/>
      <c r="L349" s="37"/>
    </row>
    <row r="350" spans="1:12" ht="15.75" customHeight="1" x14ac:dyDescent="0.2">
      <c r="A350" s="37"/>
      <c r="B350" s="37"/>
      <c r="C350" s="37"/>
      <c r="D350" s="37"/>
      <c r="E350" s="37"/>
      <c r="F350" s="37"/>
      <c r="G350" s="37"/>
      <c r="H350" s="37"/>
      <c r="I350" s="37"/>
      <c r="J350" s="37"/>
      <c r="K350" s="37"/>
      <c r="L350" s="37"/>
    </row>
    <row r="351" spans="1:12" ht="15.75" customHeight="1" x14ac:dyDescent="0.2">
      <c r="A351" s="37"/>
      <c r="B351" s="37"/>
      <c r="C351" s="37"/>
      <c r="D351" s="37"/>
      <c r="E351" s="37"/>
      <c r="F351" s="37"/>
      <c r="G351" s="37"/>
      <c r="H351" s="37"/>
      <c r="I351" s="37"/>
      <c r="J351" s="37"/>
      <c r="K351" s="37"/>
      <c r="L351" s="37"/>
    </row>
    <row r="352" spans="1:12" ht="15.75" customHeight="1" x14ac:dyDescent="0.2">
      <c r="A352" s="37"/>
      <c r="B352" s="37"/>
      <c r="C352" s="37"/>
      <c r="D352" s="37"/>
      <c r="E352" s="37"/>
      <c r="F352" s="37"/>
      <c r="G352" s="37"/>
      <c r="H352" s="37"/>
      <c r="I352" s="37"/>
      <c r="J352" s="37"/>
      <c r="K352" s="37"/>
      <c r="L352" s="37"/>
    </row>
    <row r="353" spans="1:12" ht="15.75" customHeight="1" x14ac:dyDescent="0.2">
      <c r="A353" s="37"/>
      <c r="B353" s="37"/>
      <c r="C353" s="37"/>
      <c r="D353" s="37"/>
      <c r="E353" s="37"/>
      <c r="F353" s="37"/>
      <c r="G353" s="37"/>
      <c r="H353" s="37"/>
      <c r="I353" s="37"/>
      <c r="J353" s="37"/>
      <c r="K353" s="37"/>
      <c r="L353" s="37"/>
    </row>
    <row r="354" spans="1:12" ht="15.75" customHeight="1" x14ac:dyDescent="0.2">
      <c r="A354" s="37"/>
      <c r="B354" s="37"/>
      <c r="C354" s="37"/>
      <c r="D354" s="37"/>
      <c r="E354" s="37"/>
      <c r="F354" s="37"/>
      <c r="G354" s="37"/>
      <c r="H354" s="37"/>
      <c r="I354" s="37"/>
      <c r="J354" s="37"/>
      <c r="K354" s="37"/>
      <c r="L354" s="37"/>
    </row>
    <row r="355" spans="1:12" ht="15.75" customHeight="1" x14ac:dyDescent="0.2">
      <c r="A355" s="37"/>
      <c r="B355" s="37"/>
      <c r="C355" s="37"/>
      <c r="D355" s="37"/>
      <c r="E355" s="37"/>
      <c r="F355" s="37"/>
      <c r="G355" s="37"/>
      <c r="H355" s="37"/>
      <c r="I355" s="37"/>
      <c r="J355" s="37"/>
      <c r="K355" s="37"/>
      <c r="L355" s="37"/>
    </row>
    <row r="356" spans="1:12" ht="15.75" customHeight="1" x14ac:dyDescent="0.2">
      <c r="A356" s="37"/>
      <c r="B356" s="37"/>
      <c r="C356" s="37"/>
      <c r="D356" s="37"/>
      <c r="E356" s="37"/>
      <c r="F356" s="37"/>
      <c r="G356" s="37"/>
      <c r="H356" s="37"/>
      <c r="I356" s="37"/>
      <c r="J356" s="37"/>
      <c r="K356" s="37"/>
      <c r="L356" s="37"/>
    </row>
    <row r="357" spans="1:12" ht="15.75" customHeight="1" x14ac:dyDescent="0.2">
      <c r="A357" s="37"/>
      <c r="B357" s="37"/>
      <c r="C357" s="37"/>
      <c r="D357" s="37"/>
      <c r="E357" s="37"/>
      <c r="F357" s="37"/>
      <c r="G357" s="37"/>
      <c r="H357" s="37"/>
      <c r="I357" s="37"/>
      <c r="J357" s="37"/>
      <c r="K357" s="37"/>
      <c r="L357" s="37"/>
    </row>
    <row r="358" spans="1:12" ht="15.75" customHeight="1" x14ac:dyDescent="0.2">
      <c r="A358" s="37"/>
      <c r="B358" s="37"/>
      <c r="C358" s="37"/>
      <c r="D358" s="37"/>
      <c r="E358" s="37"/>
      <c r="F358" s="37"/>
      <c r="G358" s="37"/>
      <c r="H358" s="37"/>
      <c r="I358" s="37"/>
      <c r="J358" s="37"/>
      <c r="K358" s="37"/>
      <c r="L358" s="37"/>
    </row>
    <row r="359" spans="1:12" ht="15.75" customHeight="1" x14ac:dyDescent="0.2">
      <c r="A359" s="37"/>
      <c r="B359" s="37"/>
      <c r="C359" s="37"/>
      <c r="D359" s="37"/>
      <c r="E359" s="37"/>
      <c r="F359" s="37"/>
      <c r="G359" s="37"/>
      <c r="H359" s="37"/>
      <c r="I359" s="37"/>
      <c r="J359" s="37"/>
      <c r="K359" s="37"/>
      <c r="L359" s="37"/>
    </row>
    <row r="360" spans="1:12" ht="15.75" customHeight="1" x14ac:dyDescent="0.2">
      <c r="A360" s="37"/>
      <c r="B360" s="37"/>
      <c r="C360" s="37"/>
      <c r="D360" s="37"/>
      <c r="E360" s="37"/>
      <c r="F360" s="37"/>
      <c r="G360" s="37"/>
      <c r="H360" s="37"/>
      <c r="I360" s="37"/>
      <c r="J360" s="37"/>
      <c r="K360" s="37"/>
      <c r="L360" s="37"/>
    </row>
    <row r="361" spans="1:12" ht="15.75" customHeight="1" x14ac:dyDescent="0.2">
      <c r="A361" s="37"/>
      <c r="B361" s="37"/>
      <c r="C361" s="37"/>
      <c r="D361" s="37"/>
      <c r="E361" s="37"/>
      <c r="F361" s="37"/>
      <c r="G361" s="37"/>
      <c r="H361" s="37"/>
      <c r="I361" s="37"/>
      <c r="J361" s="37"/>
      <c r="K361" s="37"/>
      <c r="L361" s="37"/>
    </row>
    <row r="362" spans="1:12" ht="15.75" customHeight="1" x14ac:dyDescent="0.2">
      <c r="A362" s="37"/>
      <c r="B362" s="37"/>
      <c r="C362" s="37"/>
      <c r="D362" s="37"/>
      <c r="E362" s="37"/>
      <c r="F362" s="37"/>
      <c r="G362" s="37"/>
      <c r="H362" s="37"/>
      <c r="I362" s="37"/>
      <c r="J362" s="37"/>
      <c r="K362" s="37"/>
      <c r="L362" s="37"/>
    </row>
    <row r="363" spans="1:12" ht="15.75" customHeight="1" x14ac:dyDescent="0.2">
      <c r="A363" s="37"/>
      <c r="B363" s="37"/>
      <c r="C363" s="37"/>
      <c r="D363" s="37"/>
      <c r="E363" s="37"/>
      <c r="F363" s="37"/>
      <c r="G363" s="37"/>
      <c r="H363" s="37"/>
      <c r="I363" s="37"/>
      <c r="J363" s="37"/>
      <c r="K363" s="37"/>
      <c r="L363" s="37"/>
    </row>
    <row r="364" spans="1:12" ht="15.75" customHeight="1" x14ac:dyDescent="0.2">
      <c r="A364" s="37"/>
      <c r="B364" s="37"/>
      <c r="C364" s="37"/>
      <c r="D364" s="37"/>
      <c r="E364" s="37"/>
      <c r="F364" s="37"/>
      <c r="G364" s="37"/>
      <c r="H364" s="37"/>
      <c r="I364" s="37"/>
      <c r="J364" s="37"/>
      <c r="K364" s="37"/>
      <c r="L364" s="37"/>
    </row>
    <row r="365" spans="1:12" ht="15.75" customHeight="1" x14ac:dyDescent="0.2">
      <c r="A365" s="37"/>
      <c r="B365" s="37"/>
      <c r="C365" s="37"/>
      <c r="D365" s="37"/>
      <c r="E365" s="37"/>
      <c r="F365" s="37"/>
      <c r="G365" s="37"/>
      <c r="H365" s="37"/>
      <c r="I365" s="37"/>
      <c r="J365" s="37"/>
      <c r="K365" s="37"/>
      <c r="L365" s="37"/>
    </row>
    <row r="366" spans="1:12" ht="15.75" customHeight="1" x14ac:dyDescent="0.2">
      <c r="A366" s="37"/>
      <c r="B366" s="37"/>
      <c r="C366" s="37"/>
      <c r="D366" s="37"/>
      <c r="E366" s="37"/>
      <c r="F366" s="37"/>
      <c r="G366" s="37"/>
      <c r="H366" s="37"/>
      <c r="I366" s="37"/>
      <c r="J366" s="37"/>
      <c r="K366" s="37"/>
      <c r="L366" s="37"/>
    </row>
    <row r="367" spans="1:12" ht="15.75" customHeight="1" x14ac:dyDescent="0.2">
      <c r="A367" s="37"/>
      <c r="B367" s="37"/>
      <c r="C367" s="37"/>
      <c r="D367" s="37"/>
      <c r="E367" s="37"/>
      <c r="F367" s="37"/>
      <c r="G367" s="37"/>
      <c r="H367" s="37"/>
      <c r="I367" s="37"/>
      <c r="J367" s="37"/>
      <c r="K367" s="37"/>
      <c r="L367" s="37"/>
    </row>
    <row r="368" spans="1:12" ht="15.75" customHeight="1" x14ac:dyDescent="0.2">
      <c r="A368" s="37"/>
      <c r="B368" s="37"/>
      <c r="C368" s="37"/>
      <c r="D368" s="37"/>
      <c r="E368" s="37"/>
      <c r="F368" s="37"/>
      <c r="G368" s="37"/>
      <c r="H368" s="37"/>
      <c r="I368" s="37"/>
      <c r="J368" s="37"/>
      <c r="K368" s="37"/>
      <c r="L368" s="37"/>
    </row>
    <row r="369" spans="1:12" ht="15.75" customHeight="1" x14ac:dyDescent="0.2">
      <c r="A369" s="37"/>
      <c r="B369" s="37"/>
      <c r="C369" s="37"/>
      <c r="D369" s="37"/>
      <c r="E369" s="37"/>
      <c r="F369" s="37"/>
      <c r="G369" s="37"/>
      <c r="H369" s="37"/>
      <c r="I369" s="37"/>
      <c r="J369" s="37"/>
      <c r="K369" s="37"/>
      <c r="L369" s="37"/>
    </row>
    <row r="370" spans="1:12" ht="15.75" customHeight="1" x14ac:dyDescent="0.2">
      <c r="A370" s="37"/>
      <c r="B370" s="37"/>
      <c r="C370" s="37"/>
      <c r="D370" s="37"/>
      <c r="E370" s="37"/>
      <c r="F370" s="37"/>
      <c r="G370" s="37"/>
      <c r="H370" s="37"/>
      <c r="I370" s="37"/>
      <c r="J370" s="37"/>
      <c r="K370" s="37"/>
      <c r="L370" s="37"/>
    </row>
    <row r="371" spans="1:12" ht="15.75" customHeight="1" x14ac:dyDescent="0.2">
      <c r="A371" s="37"/>
      <c r="B371" s="37"/>
      <c r="C371" s="37"/>
      <c r="D371" s="37"/>
      <c r="E371" s="37"/>
      <c r="F371" s="37"/>
      <c r="G371" s="37"/>
      <c r="H371" s="37"/>
      <c r="I371" s="37"/>
      <c r="J371" s="37"/>
      <c r="K371" s="37"/>
      <c r="L371" s="37"/>
    </row>
    <row r="372" spans="1:12" ht="15.75" customHeight="1" x14ac:dyDescent="0.2">
      <c r="A372" s="37"/>
      <c r="B372" s="37"/>
      <c r="C372" s="37"/>
      <c r="D372" s="37"/>
      <c r="E372" s="37"/>
      <c r="F372" s="37"/>
      <c r="G372" s="37"/>
      <c r="H372" s="37"/>
      <c r="I372" s="37"/>
      <c r="J372" s="37"/>
      <c r="K372" s="37"/>
      <c r="L372" s="37"/>
    </row>
    <row r="373" spans="1:12" ht="15.75" customHeight="1" x14ac:dyDescent="0.2">
      <c r="A373" s="37"/>
      <c r="B373" s="37"/>
      <c r="C373" s="37"/>
      <c r="D373" s="37"/>
      <c r="E373" s="37"/>
      <c r="F373" s="37"/>
      <c r="G373" s="37"/>
      <c r="H373" s="37"/>
      <c r="I373" s="37"/>
      <c r="J373" s="37"/>
      <c r="K373" s="37"/>
      <c r="L373" s="37"/>
    </row>
    <row r="374" spans="1:12" ht="15.75" customHeight="1" x14ac:dyDescent="0.2">
      <c r="A374" s="37"/>
      <c r="B374" s="37"/>
      <c r="C374" s="37"/>
      <c r="D374" s="37"/>
      <c r="E374" s="37"/>
      <c r="F374" s="37"/>
      <c r="G374" s="37"/>
      <c r="H374" s="37"/>
      <c r="I374" s="37"/>
      <c r="J374" s="37"/>
      <c r="K374" s="37"/>
      <c r="L374" s="37"/>
    </row>
    <row r="375" spans="1:12" ht="15.75" customHeight="1" x14ac:dyDescent="0.2">
      <c r="A375" s="37"/>
      <c r="B375" s="37"/>
      <c r="C375" s="37"/>
      <c r="D375" s="37"/>
      <c r="E375" s="37"/>
      <c r="F375" s="37"/>
      <c r="G375" s="37"/>
      <c r="H375" s="37"/>
      <c r="I375" s="37"/>
      <c r="J375" s="37"/>
      <c r="K375" s="37"/>
      <c r="L375" s="37"/>
    </row>
    <row r="376" spans="1:12" ht="15.75" customHeight="1" x14ac:dyDescent="0.2">
      <c r="A376" s="37"/>
      <c r="B376" s="37"/>
      <c r="C376" s="37"/>
      <c r="D376" s="37"/>
      <c r="E376" s="37"/>
      <c r="F376" s="37"/>
      <c r="G376" s="37"/>
      <c r="H376" s="37"/>
      <c r="I376" s="37"/>
      <c r="J376" s="37"/>
      <c r="K376" s="37"/>
      <c r="L376" s="37"/>
    </row>
    <row r="377" spans="1:12" ht="15.75" customHeight="1" x14ac:dyDescent="0.2">
      <c r="A377" s="37"/>
      <c r="B377" s="37"/>
      <c r="C377" s="37"/>
      <c r="D377" s="37"/>
      <c r="E377" s="37"/>
      <c r="F377" s="37"/>
      <c r="G377" s="37"/>
      <c r="H377" s="37"/>
      <c r="I377" s="37"/>
      <c r="J377" s="37"/>
      <c r="K377" s="37"/>
      <c r="L377" s="37"/>
    </row>
    <row r="378" spans="1:12" ht="15.75" customHeight="1" x14ac:dyDescent="0.2">
      <c r="A378" s="37"/>
      <c r="B378" s="37"/>
      <c r="C378" s="37"/>
      <c r="D378" s="37"/>
      <c r="E378" s="37"/>
      <c r="F378" s="37"/>
      <c r="G378" s="37"/>
      <c r="H378" s="37"/>
      <c r="I378" s="37"/>
      <c r="J378" s="37"/>
      <c r="K378" s="37"/>
      <c r="L378" s="37"/>
    </row>
    <row r="379" spans="1:12" ht="15.75" customHeight="1" x14ac:dyDescent="0.2">
      <c r="A379" s="37"/>
      <c r="B379" s="37"/>
      <c r="C379" s="37"/>
      <c r="D379" s="37"/>
      <c r="E379" s="37"/>
      <c r="F379" s="37"/>
      <c r="G379" s="37"/>
      <c r="H379" s="37"/>
      <c r="I379" s="37"/>
      <c r="J379" s="37"/>
      <c r="K379" s="37"/>
      <c r="L379" s="37"/>
    </row>
    <row r="380" spans="1:12" ht="15.75" customHeight="1" x14ac:dyDescent="0.2">
      <c r="A380" s="37"/>
      <c r="B380" s="37"/>
      <c r="C380" s="37"/>
      <c r="D380" s="37"/>
      <c r="E380" s="37"/>
      <c r="F380" s="37"/>
      <c r="G380" s="37"/>
      <c r="H380" s="37"/>
      <c r="I380" s="37"/>
      <c r="J380" s="37"/>
      <c r="K380" s="37"/>
      <c r="L380" s="37"/>
    </row>
    <row r="381" spans="1:12" ht="15.75" customHeight="1" x14ac:dyDescent="0.2">
      <c r="A381" s="37"/>
      <c r="B381" s="37"/>
      <c r="C381" s="37"/>
      <c r="D381" s="37"/>
      <c r="E381" s="37"/>
      <c r="F381" s="37"/>
      <c r="G381" s="37"/>
      <c r="H381" s="37"/>
      <c r="I381" s="37"/>
      <c r="J381" s="37"/>
      <c r="K381" s="37"/>
      <c r="L381" s="37"/>
    </row>
    <row r="382" spans="1:12" ht="15.75" customHeight="1" x14ac:dyDescent="0.2">
      <c r="A382" s="37"/>
      <c r="B382" s="37"/>
      <c r="C382" s="37"/>
      <c r="D382" s="37"/>
      <c r="E382" s="37"/>
      <c r="F382" s="37"/>
      <c r="G382" s="37"/>
      <c r="H382" s="37"/>
      <c r="I382" s="37"/>
      <c r="J382" s="37"/>
      <c r="K382" s="37"/>
      <c r="L382" s="37"/>
    </row>
    <row r="383" spans="1:12" ht="15.75" customHeight="1" x14ac:dyDescent="0.2">
      <c r="A383" s="37"/>
      <c r="B383" s="37"/>
      <c r="C383" s="37"/>
      <c r="D383" s="37"/>
      <c r="E383" s="37"/>
      <c r="F383" s="37"/>
      <c r="G383" s="37"/>
      <c r="H383" s="37"/>
      <c r="I383" s="37"/>
      <c r="J383" s="37"/>
      <c r="K383" s="37"/>
      <c r="L383" s="37"/>
    </row>
    <row r="384" spans="1:12" ht="15.75" customHeight="1" x14ac:dyDescent="0.2">
      <c r="A384" s="37"/>
      <c r="B384" s="37"/>
      <c r="C384" s="37"/>
      <c r="D384" s="37"/>
      <c r="E384" s="37"/>
      <c r="F384" s="37"/>
      <c r="G384" s="37"/>
      <c r="H384" s="37"/>
      <c r="I384" s="37"/>
      <c r="J384" s="37"/>
      <c r="K384" s="37"/>
      <c r="L384" s="37"/>
    </row>
    <row r="385" spans="1:12" ht="15.75" customHeight="1" x14ac:dyDescent="0.2">
      <c r="A385" s="37"/>
      <c r="B385" s="37"/>
      <c r="C385" s="37"/>
      <c r="D385" s="37"/>
      <c r="E385" s="37"/>
      <c r="F385" s="37"/>
      <c r="G385" s="37"/>
      <c r="H385" s="37"/>
      <c r="I385" s="37"/>
      <c r="J385" s="37"/>
      <c r="K385" s="37"/>
      <c r="L385" s="37"/>
    </row>
    <row r="386" spans="1:12" ht="15.75" customHeight="1" x14ac:dyDescent="0.2">
      <c r="A386" s="37"/>
      <c r="B386" s="37"/>
      <c r="C386" s="37"/>
      <c r="D386" s="37"/>
      <c r="E386" s="37"/>
      <c r="F386" s="37"/>
      <c r="G386" s="37"/>
      <c r="H386" s="37"/>
      <c r="I386" s="37"/>
      <c r="J386" s="37"/>
      <c r="K386" s="37"/>
      <c r="L386" s="37"/>
    </row>
    <row r="387" spans="1:12" ht="15.75" customHeight="1" x14ac:dyDescent="0.2">
      <c r="A387" s="37"/>
      <c r="B387" s="37"/>
      <c r="C387" s="37"/>
      <c r="D387" s="37"/>
      <c r="E387" s="37"/>
      <c r="F387" s="37"/>
      <c r="G387" s="37"/>
      <c r="H387" s="37"/>
      <c r="I387" s="37"/>
      <c r="J387" s="37"/>
      <c r="K387" s="37"/>
      <c r="L387" s="37"/>
    </row>
    <row r="388" spans="1:12" ht="15.75" customHeight="1" x14ac:dyDescent="0.2">
      <c r="A388" s="37"/>
      <c r="B388" s="37"/>
      <c r="C388" s="37"/>
      <c r="D388" s="37"/>
      <c r="E388" s="37"/>
      <c r="F388" s="37"/>
      <c r="G388" s="37"/>
      <c r="H388" s="37"/>
      <c r="I388" s="37"/>
      <c r="J388" s="37"/>
      <c r="K388" s="37"/>
      <c r="L388" s="37"/>
    </row>
    <row r="389" spans="1:12" ht="15.75" customHeight="1" x14ac:dyDescent="0.2">
      <c r="A389" s="37"/>
      <c r="B389" s="37"/>
      <c r="C389" s="37"/>
      <c r="D389" s="37"/>
      <c r="E389" s="37"/>
      <c r="F389" s="37"/>
      <c r="G389" s="37"/>
      <c r="H389" s="37"/>
      <c r="I389" s="37"/>
      <c r="J389" s="37"/>
      <c r="K389" s="37"/>
      <c r="L389" s="37"/>
    </row>
    <row r="390" spans="1:12" ht="15.75" customHeight="1" x14ac:dyDescent="0.2">
      <c r="A390" s="37"/>
      <c r="B390" s="37"/>
      <c r="C390" s="37"/>
      <c r="D390" s="37"/>
      <c r="E390" s="37"/>
      <c r="F390" s="37"/>
      <c r="G390" s="37"/>
      <c r="H390" s="37"/>
      <c r="I390" s="37"/>
      <c r="J390" s="37"/>
      <c r="K390" s="37"/>
      <c r="L390" s="37"/>
    </row>
    <row r="391" spans="1:12" ht="15.75" customHeight="1" x14ac:dyDescent="0.2">
      <c r="A391" s="37"/>
      <c r="B391" s="37"/>
      <c r="C391" s="37"/>
      <c r="D391" s="37"/>
      <c r="E391" s="37"/>
      <c r="F391" s="37"/>
      <c r="G391" s="37"/>
      <c r="H391" s="37"/>
      <c r="I391" s="37"/>
      <c r="J391" s="37"/>
      <c r="K391" s="37"/>
      <c r="L391" s="37"/>
    </row>
    <row r="392" spans="1:12" ht="15.75" customHeight="1" x14ac:dyDescent="0.2">
      <c r="A392" s="37"/>
      <c r="B392" s="37"/>
      <c r="C392" s="37"/>
      <c r="D392" s="37"/>
      <c r="E392" s="37"/>
      <c r="F392" s="37"/>
      <c r="G392" s="37"/>
      <c r="H392" s="37"/>
      <c r="I392" s="37"/>
      <c r="J392" s="37"/>
      <c r="K392" s="37"/>
      <c r="L392" s="37"/>
    </row>
    <row r="393" spans="1:12" ht="15.75" customHeight="1" x14ac:dyDescent="0.2">
      <c r="A393" s="37"/>
      <c r="B393" s="37"/>
      <c r="C393" s="37"/>
      <c r="D393" s="37"/>
      <c r="E393" s="37"/>
      <c r="F393" s="37"/>
      <c r="G393" s="37"/>
      <c r="H393" s="37"/>
      <c r="I393" s="37"/>
      <c r="J393" s="37"/>
      <c r="K393" s="37"/>
      <c r="L393" s="37"/>
    </row>
    <row r="394" spans="1:12" ht="15.75" customHeight="1" x14ac:dyDescent="0.2">
      <c r="A394" s="37"/>
      <c r="B394" s="37"/>
      <c r="C394" s="37"/>
      <c r="D394" s="37"/>
      <c r="E394" s="37"/>
      <c r="F394" s="37"/>
      <c r="G394" s="37"/>
      <c r="H394" s="37"/>
      <c r="I394" s="37"/>
      <c r="J394" s="37"/>
      <c r="K394" s="37"/>
      <c r="L394" s="37"/>
    </row>
    <row r="395" spans="1:12" ht="15.75" customHeight="1" x14ac:dyDescent="0.2">
      <c r="A395" s="37"/>
      <c r="B395" s="37"/>
      <c r="C395" s="37"/>
      <c r="D395" s="37"/>
      <c r="E395" s="37"/>
      <c r="F395" s="37"/>
      <c r="G395" s="37"/>
      <c r="H395" s="37"/>
      <c r="I395" s="37"/>
      <c r="J395" s="37"/>
      <c r="K395" s="37"/>
      <c r="L395" s="37"/>
    </row>
    <row r="396" spans="1:12" ht="15.75" customHeight="1" x14ac:dyDescent="0.2">
      <c r="A396" s="37"/>
      <c r="B396" s="37"/>
      <c r="C396" s="37"/>
      <c r="D396" s="37"/>
      <c r="E396" s="37"/>
      <c r="F396" s="37"/>
      <c r="G396" s="37"/>
      <c r="H396" s="37"/>
      <c r="I396" s="37"/>
      <c r="J396" s="37"/>
      <c r="K396" s="37"/>
      <c r="L396" s="37"/>
    </row>
    <row r="397" spans="1:12" ht="15.75" customHeight="1" x14ac:dyDescent="0.2">
      <c r="A397" s="37"/>
      <c r="B397" s="37"/>
      <c r="C397" s="37"/>
      <c r="D397" s="37"/>
      <c r="E397" s="37"/>
      <c r="F397" s="37"/>
      <c r="G397" s="37"/>
      <c r="H397" s="37"/>
      <c r="I397" s="37"/>
      <c r="J397" s="37"/>
      <c r="K397" s="37"/>
      <c r="L397" s="37"/>
    </row>
    <row r="398" spans="1:12" ht="15.75" customHeight="1" x14ac:dyDescent="0.2">
      <c r="A398" s="37"/>
      <c r="B398" s="37"/>
      <c r="C398" s="37"/>
      <c r="D398" s="37"/>
      <c r="E398" s="37"/>
      <c r="F398" s="37"/>
      <c r="G398" s="37"/>
      <c r="H398" s="37"/>
      <c r="I398" s="37"/>
      <c r="J398" s="37"/>
      <c r="K398" s="37"/>
      <c r="L398" s="37"/>
    </row>
    <row r="399" spans="1:12" ht="15.75" customHeight="1" x14ac:dyDescent="0.2">
      <c r="A399" s="37"/>
      <c r="B399" s="37"/>
      <c r="C399" s="37"/>
      <c r="D399" s="37"/>
      <c r="E399" s="37"/>
      <c r="F399" s="37"/>
      <c r="G399" s="37"/>
      <c r="H399" s="37"/>
      <c r="I399" s="37"/>
      <c r="J399" s="37"/>
      <c r="K399" s="37"/>
      <c r="L399" s="37"/>
    </row>
    <row r="400" spans="1:12" ht="15.75" customHeight="1" x14ac:dyDescent="0.2">
      <c r="A400" s="37"/>
      <c r="B400" s="37"/>
      <c r="C400" s="37"/>
      <c r="D400" s="37"/>
      <c r="E400" s="37"/>
      <c r="F400" s="37"/>
      <c r="G400" s="37"/>
      <c r="H400" s="37"/>
      <c r="I400" s="37"/>
      <c r="J400" s="37"/>
      <c r="K400" s="37"/>
      <c r="L400" s="37"/>
    </row>
    <row r="401" spans="1:12" ht="15.75" customHeight="1" x14ac:dyDescent="0.2">
      <c r="A401" s="37"/>
      <c r="B401" s="37"/>
      <c r="C401" s="37"/>
      <c r="D401" s="37"/>
      <c r="E401" s="37"/>
      <c r="F401" s="37"/>
      <c r="G401" s="37"/>
      <c r="H401" s="37"/>
      <c r="I401" s="37"/>
      <c r="J401" s="37"/>
      <c r="K401" s="37"/>
      <c r="L401" s="37"/>
    </row>
    <row r="402" spans="1:12" ht="15.75" customHeight="1" x14ac:dyDescent="0.2">
      <c r="A402" s="37"/>
      <c r="B402" s="37"/>
      <c r="C402" s="37"/>
      <c r="D402" s="37"/>
      <c r="E402" s="37"/>
      <c r="F402" s="37"/>
      <c r="G402" s="37"/>
      <c r="H402" s="37"/>
      <c r="I402" s="37"/>
      <c r="J402" s="37"/>
      <c r="K402" s="37"/>
      <c r="L402" s="37"/>
    </row>
    <row r="403" spans="1:12" ht="15.75" customHeight="1" x14ac:dyDescent="0.2">
      <c r="A403" s="37"/>
      <c r="B403" s="37"/>
      <c r="C403" s="37"/>
      <c r="D403" s="37"/>
      <c r="E403" s="37"/>
      <c r="F403" s="37"/>
      <c r="G403" s="37"/>
      <c r="H403" s="37"/>
      <c r="I403" s="37"/>
      <c r="J403" s="37"/>
      <c r="K403" s="37"/>
      <c r="L403" s="37"/>
    </row>
    <row r="404" spans="1:12" ht="15.75" customHeight="1" x14ac:dyDescent="0.2">
      <c r="A404" s="37"/>
      <c r="B404" s="37"/>
      <c r="C404" s="37"/>
      <c r="D404" s="37"/>
      <c r="E404" s="37"/>
      <c r="F404" s="37"/>
      <c r="G404" s="37"/>
      <c r="H404" s="37"/>
      <c r="I404" s="37"/>
      <c r="J404" s="37"/>
      <c r="K404" s="37"/>
      <c r="L404" s="37"/>
    </row>
    <row r="405" spans="1:12" ht="15.75" customHeight="1" x14ac:dyDescent="0.2">
      <c r="A405" s="37"/>
      <c r="B405" s="37"/>
      <c r="C405" s="37"/>
      <c r="D405" s="37"/>
      <c r="E405" s="37"/>
      <c r="F405" s="37"/>
      <c r="G405" s="37"/>
      <c r="H405" s="37"/>
      <c r="I405" s="37"/>
      <c r="J405" s="37"/>
      <c r="K405" s="37"/>
      <c r="L405" s="37"/>
    </row>
    <row r="406" spans="1:12" ht="15.75" customHeight="1" x14ac:dyDescent="0.2">
      <c r="A406" s="37"/>
      <c r="B406" s="37"/>
      <c r="C406" s="37"/>
      <c r="D406" s="37"/>
      <c r="E406" s="37"/>
      <c r="F406" s="37"/>
      <c r="G406" s="37"/>
      <c r="H406" s="37"/>
      <c r="I406" s="37"/>
      <c r="J406" s="37"/>
      <c r="K406" s="37"/>
      <c r="L406" s="37"/>
    </row>
    <row r="407" spans="1:12" ht="15.75" customHeight="1" x14ac:dyDescent="0.2">
      <c r="A407" s="37"/>
      <c r="B407" s="37"/>
      <c r="C407" s="37"/>
      <c r="D407" s="37"/>
      <c r="E407" s="37"/>
      <c r="F407" s="37"/>
      <c r="G407" s="37"/>
      <c r="H407" s="37"/>
      <c r="I407" s="37"/>
      <c r="J407" s="37"/>
      <c r="K407" s="37"/>
      <c r="L407" s="37"/>
    </row>
    <row r="408" spans="1:12" ht="15.75" customHeight="1" x14ac:dyDescent="0.2">
      <c r="A408" s="37"/>
      <c r="B408" s="37"/>
      <c r="C408" s="37"/>
      <c r="D408" s="37"/>
      <c r="E408" s="37"/>
      <c r="F408" s="37"/>
      <c r="G408" s="37"/>
      <c r="H408" s="37"/>
      <c r="I408" s="37"/>
      <c r="J408" s="37"/>
      <c r="K408" s="37"/>
      <c r="L408" s="37"/>
    </row>
    <row r="409" spans="1:12" ht="15.75" customHeight="1" x14ac:dyDescent="0.2">
      <c r="A409" s="37"/>
      <c r="B409" s="37"/>
      <c r="C409" s="37"/>
      <c r="D409" s="37"/>
      <c r="E409" s="37"/>
      <c r="F409" s="37"/>
      <c r="G409" s="37"/>
      <c r="H409" s="37"/>
      <c r="I409" s="37"/>
      <c r="J409" s="37"/>
      <c r="K409" s="37"/>
      <c r="L409" s="37"/>
    </row>
    <row r="410" spans="1:12" ht="15.75" customHeight="1" x14ac:dyDescent="0.2">
      <c r="A410" s="37"/>
      <c r="B410" s="37"/>
      <c r="C410" s="37"/>
      <c r="D410" s="37"/>
      <c r="E410" s="37"/>
      <c r="F410" s="37"/>
      <c r="G410" s="37"/>
      <c r="H410" s="37"/>
      <c r="I410" s="37"/>
      <c r="J410" s="37"/>
      <c r="K410" s="37"/>
      <c r="L410" s="37"/>
    </row>
    <row r="411" spans="1:12" ht="15.75" customHeight="1" x14ac:dyDescent="0.2">
      <c r="A411" s="37"/>
      <c r="B411" s="37"/>
      <c r="C411" s="37"/>
      <c r="D411" s="37"/>
      <c r="E411" s="37"/>
      <c r="F411" s="37"/>
      <c r="G411" s="37"/>
      <c r="H411" s="37"/>
      <c r="I411" s="37"/>
      <c r="J411" s="37"/>
      <c r="K411" s="37"/>
      <c r="L411" s="37"/>
    </row>
    <row r="412" spans="1:12" ht="15.75" customHeight="1" x14ac:dyDescent="0.2">
      <c r="A412" s="37"/>
      <c r="B412" s="37"/>
      <c r="C412" s="37"/>
      <c r="D412" s="37"/>
      <c r="E412" s="37"/>
      <c r="F412" s="37"/>
      <c r="G412" s="37"/>
      <c r="H412" s="37"/>
      <c r="I412" s="37"/>
      <c r="J412" s="37"/>
      <c r="K412" s="37"/>
      <c r="L412" s="37"/>
    </row>
    <row r="413" spans="1:12" ht="15.75" customHeight="1" x14ac:dyDescent="0.2">
      <c r="A413" s="37"/>
      <c r="B413" s="37"/>
      <c r="C413" s="37"/>
      <c r="D413" s="37"/>
      <c r="E413" s="37"/>
      <c r="F413" s="37"/>
      <c r="G413" s="37"/>
      <c r="H413" s="37"/>
      <c r="I413" s="37"/>
      <c r="J413" s="37"/>
      <c r="K413" s="37"/>
      <c r="L413" s="37"/>
    </row>
    <row r="414" spans="1:12" ht="15.75" customHeight="1" x14ac:dyDescent="0.2">
      <c r="A414" s="37"/>
      <c r="B414" s="37"/>
      <c r="C414" s="37"/>
      <c r="D414" s="37"/>
      <c r="E414" s="37"/>
      <c r="F414" s="37"/>
      <c r="G414" s="37"/>
      <c r="H414" s="37"/>
      <c r="I414" s="37"/>
      <c r="J414" s="37"/>
      <c r="K414" s="37"/>
      <c r="L414" s="37"/>
    </row>
    <row r="415" spans="1:12" ht="15.75" customHeight="1" x14ac:dyDescent="0.2">
      <c r="A415" s="37"/>
      <c r="B415" s="37"/>
      <c r="C415" s="37"/>
      <c r="D415" s="37"/>
      <c r="E415" s="37"/>
      <c r="F415" s="37"/>
      <c r="G415" s="37"/>
      <c r="H415" s="37"/>
      <c r="I415" s="37"/>
      <c r="J415" s="37"/>
      <c r="K415" s="37"/>
      <c r="L415" s="37"/>
    </row>
    <row r="416" spans="1:12" ht="15.75" customHeight="1" x14ac:dyDescent="0.2">
      <c r="A416" s="37"/>
      <c r="B416" s="37"/>
      <c r="C416" s="37"/>
      <c r="D416" s="37"/>
      <c r="E416" s="37"/>
      <c r="F416" s="37"/>
      <c r="G416" s="37"/>
      <c r="H416" s="37"/>
      <c r="I416" s="37"/>
      <c r="J416" s="37"/>
      <c r="K416" s="37"/>
      <c r="L416" s="37"/>
    </row>
    <row r="417" spans="1:12" ht="15.75" customHeight="1" x14ac:dyDescent="0.2">
      <c r="A417" s="37"/>
      <c r="B417" s="37"/>
      <c r="C417" s="37"/>
      <c r="D417" s="37"/>
      <c r="E417" s="37"/>
      <c r="F417" s="37"/>
      <c r="G417" s="37"/>
      <c r="H417" s="37"/>
      <c r="I417" s="37"/>
      <c r="J417" s="37"/>
      <c r="K417" s="37"/>
      <c r="L417" s="37"/>
    </row>
    <row r="418" spans="1:12" ht="15.75" customHeight="1" x14ac:dyDescent="0.2">
      <c r="A418" s="37"/>
      <c r="B418" s="37"/>
      <c r="C418" s="37"/>
      <c r="D418" s="37"/>
      <c r="E418" s="37"/>
      <c r="F418" s="37"/>
      <c r="G418" s="37"/>
      <c r="H418" s="37"/>
      <c r="I418" s="37"/>
      <c r="J418" s="37"/>
      <c r="K418" s="37"/>
      <c r="L418" s="37"/>
    </row>
    <row r="419" spans="1:12" ht="15.75" customHeight="1" x14ac:dyDescent="0.2">
      <c r="A419" s="37"/>
      <c r="B419" s="37"/>
      <c r="C419" s="37"/>
      <c r="D419" s="37"/>
      <c r="E419" s="37"/>
      <c r="F419" s="37"/>
      <c r="G419" s="37"/>
      <c r="H419" s="37"/>
      <c r="I419" s="37"/>
      <c r="J419" s="37"/>
      <c r="K419" s="37"/>
      <c r="L419" s="37"/>
    </row>
    <row r="420" spans="1:12" ht="15.75" customHeight="1" x14ac:dyDescent="0.2">
      <c r="A420" s="37"/>
      <c r="B420" s="37"/>
      <c r="C420" s="37"/>
      <c r="D420" s="37"/>
      <c r="E420" s="37"/>
      <c r="F420" s="37"/>
      <c r="G420" s="37"/>
      <c r="H420" s="37"/>
      <c r="I420" s="37"/>
      <c r="J420" s="37"/>
      <c r="K420" s="37"/>
      <c r="L420" s="37"/>
    </row>
    <row r="421" spans="1:12" ht="15.75" customHeight="1" x14ac:dyDescent="0.2">
      <c r="A421" s="37"/>
      <c r="B421" s="37"/>
      <c r="C421" s="37"/>
      <c r="D421" s="37"/>
      <c r="E421" s="37"/>
      <c r="F421" s="37"/>
      <c r="G421" s="37"/>
      <c r="H421" s="37"/>
      <c r="I421" s="37"/>
      <c r="J421" s="37"/>
      <c r="K421" s="37"/>
      <c r="L421" s="37"/>
    </row>
    <row r="422" spans="1:12" ht="15.75" customHeight="1" x14ac:dyDescent="0.2">
      <c r="A422" s="37"/>
      <c r="B422" s="37"/>
      <c r="C422" s="37"/>
      <c r="D422" s="37"/>
      <c r="E422" s="37"/>
      <c r="F422" s="37"/>
      <c r="G422" s="37"/>
      <c r="H422" s="37"/>
      <c r="I422" s="37"/>
      <c r="J422" s="37"/>
      <c r="K422" s="37"/>
      <c r="L422" s="37"/>
    </row>
    <row r="423" spans="1:12" ht="15.75" customHeight="1" x14ac:dyDescent="0.2">
      <c r="A423" s="37"/>
      <c r="B423" s="37"/>
      <c r="C423" s="37"/>
      <c r="D423" s="37"/>
      <c r="E423" s="37"/>
      <c r="F423" s="37"/>
      <c r="G423" s="37"/>
      <c r="H423" s="37"/>
      <c r="I423" s="37"/>
      <c r="J423" s="37"/>
      <c r="K423" s="37"/>
      <c r="L423" s="37"/>
    </row>
    <row r="424" spans="1:12" ht="15.75" customHeight="1" x14ac:dyDescent="0.2">
      <c r="A424" s="37"/>
      <c r="B424" s="37"/>
      <c r="C424" s="37"/>
      <c r="D424" s="37"/>
      <c r="E424" s="37"/>
      <c r="F424" s="37"/>
      <c r="G424" s="37"/>
      <c r="H424" s="37"/>
      <c r="I424" s="37"/>
      <c r="J424" s="37"/>
      <c r="K424" s="37"/>
      <c r="L424" s="37"/>
    </row>
    <row r="425" spans="1:12" ht="15.75" customHeight="1" x14ac:dyDescent="0.2">
      <c r="A425" s="37"/>
      <c r="B425" s="37"/>
      <c r="C425" s="37"/>
      <c r="D425" s="37"/>
      <c r="E425" s="37"/>
      <c r="F425" s="37"/>
      <c r="G425" s="37"/>
      <c r="H425" s="37"/>
      <c r="I425" s="37"/>
      <c r="J425" s="37"/>
      <c r="K425" s="37"/>
      <c r="L425" s="37"/>
    </row>
    <row r="426" spans="1:12" ht="15.75" customHeight="1" x14ac:dyDescent="0.2">
      <c r="A426" s="37"/>
      <c r="B426" s="37"/>
      <c r="C426" s="37"/>
      <c r="D426" s="37"/>
      <c r="E426" s="37"/>
      <c r="F426" s="37"/>
      <c r="G426" s="37"/>
      <c r="H426" s="37"/>
      <c r="I426" s="37"/>
      <c r="J426" s="37"/>
      <c r="K426" s="37"/>
      <c r="L426" s="37"/>
    </row>
    <row r="427" spans="1:12" ht="15.75" customHeight="1" x14ac:dyDescent="0.2">
      <c r="A427" s="37"/>
      <c r="B427" s="37"/>
      <c r="C427" s="37"/>
      <c r="D427" s="37"/>
      <c r="E427" s="37"/>
      <c r="F427" s="37"/>
      <c r="G427" s="37"/>
      <c r="H427" s="37"/>
      <c r="I427" s="37"/>
      <c r="J427" s="37"/>
      <c r="K427" s="37"/>
      <c r="L427" s="37"/>
    </row>
    <row r="428" spans="1:12" ht="15.75" customHeight="1" x14ac:dyDescent="0.2">
      <c r="A428" s="37"/>
      <c r="B428" s="37"/>
      <c r="C428" s="37"/>
      <c r="D428" s="37"/>
      <c r="E428" s="37"/>
      <c r="F428" s="37"/>
      <c r="G428" s="37"/>
      <c r="H428" s="37"/>
      <c r="I428" s="37"/>
      <c r="J428" s="37"/>
      <c r="K428" s="37"/>
      <c r="L428" s="37"/>
    </row>
    <row r="429" spans="1:12" ht="15.75" customHeight="1" x14ac:dyDescent="0.2">
      <c r="A429" s="37"/>
      <c r="B429" s="37"/>
      <c r="C429" s="37"/>
      <c r="D429" s="37"/>
      <c r="E429" s="37"/>
      <c r="F429" s="37"/>
      <c r="G429" s="37"/>
      <c r="H429" s="37"/>
      <c r="I429" s="37"/>
      <c r="J429" s="37"/>
      <c r="K429" s="37"/>
      <c r="L429" s="37"/>
    </row>
    <row r="430" spans="1:12" ht="15.75" customHeight="1" x14ac:dyDescent="0.2">
      <c r="A430" s="37"/>
      <c r="B430" s="37"/>
      <c r="C430" s="37"/>
      <c r="D430" s="37"/>
      <c r="E430" s="37"/>
      <c r="F430" s="37"/>
      <c r="G430" s="37"/>
      <c r="H430" s="37"/>
      <c r="I430" s="37"/>
      <c r="J430" s="37"/>
      <c r="K430" s="37"/>
      <c r="L430" s="37"/>
    </row>
    <row r="431" spans="1:12" ht="15.75" customHeight="1" x14ac:dyDescent="0.2">
      <c r="A431" s="37"/>
      <c r="B431" s="37"/>
      <c r="C431" s="37"/>
      <c r="D431" s="37"/>
      <c r="E431" s="37"/>
      <c r="F431" s="37"/>
      <c r="G431" s="37"/>
      <c r="H431" s="37"/>
      <c r="I431" s="37"/>
      <c r="J431" s="37"/>
      <c r="K431" s="37"/>
      <c r="L431" s="37"/>
    </row>
    <row r="432" spans="1:12" ht="15.75" customHeight="1" x14ac:dyDescent="0.2">
      <c r="A432" s="37"/>
      <c r="B432" s="37"/>
      <c r="C432" s="37"/>
      <c r="D432" s="37"/>
      <c r="E432" s="37"/>
      <c r="F432" s="37"/>
      <c r="G432" s="37"/>
      <c r="H432" s="37"/>
      <c r="I432" s="37"/>
      <c r="J432" s="37"/>
      <c r="K432" s="37"/>
      <c r="L432" s="37"/>
    </row>
    <row r="433" spans="1:12" ht="15.75" customHeight="1" x14ac:dyDescent="0.2">
      <c r="A433" s="37"/>
      <c r="B433" s="37"/>
      <c r="C433" s="37"/>
      <c r="D433" s="37"/>
      <c r="E433" s="37"/>
      <c r="F433" s="37"/>
      <c r="G433" s="37"/>
      <c r="H433" s="37"/>
      <c r="I433" s="37"/>
      <c r="J433" s="37"/>
      <c r="K433" s="37"/>
      <c r="L433" s="37"/>
    </row>
    <row r="434" spans="1:12" ht="15.75" customHeight="1" x14ac:dyDescent="0.2">
      <c r="A434" s="37"/>
      <c r="B434" s="37"/>
      <c r="C434" s="37"/>
      <c r="D434" s="37"/>
      <c r="E434" s="37"/>
      <c r="F434" s="37"/>
      <c r="G434" s="37"/>
      <c r="H434" s="37"/>
      <c r="I434" s="37"/>
      <c r="J434" s="37"/>
      <c r="K434" s="37"/>
      <c r="L434" s="37"/>
    </row>
    <row r="435" spans="1:12" ht="15.75" customHeight="1" x14ac:dyDescent="0.2">
      <c r="A435" s="37"/>
      <c r="B435" s="37"/>
      <c r="C435" s="37"/>
      <c r="D435" s="37"/>
      <c r="E435" s="37"/>
      <c r="F435" s="37"/>
      <c r="G435" s="37"/>
      <c r="H435" s="37"/>
      <c r="I435" s="37"/>
      <c r="J435" s="37"/>
      <c r="K435" s="37"/>
      <c r="L435" s="37"/>
    </row>
    <row r="436" spans="1:12" ht="15.75" customHeight="1" x14ac:dyDescent="0.2">
      <c r="A436" s="37"/>
      <c r="B436" s="37"/>
      <c r="C436" s="37"/>
      <c r="D436" s="37"/>
      <c r="E436" s="37"/>
      <c r="F436" s="37"/>
      <c r="G436" s="37"/>
      <c r="H436" s="37"/>
      <c r="I436" s="37"/>
      <c r="J436" s="37"/>
      <c r="K436" s="37"/>
      <c r="L436" s="37"/>
    </row>
    <row r="437" spans="1:12" ht="15.75" customHeight="1" x14ac:dyDescent="0.2">
      <c r="A437" s="37"/>
      <c r="B437" s="37"/>
      <c r="C437" s="37"/>
      <c r="D437" s="37"/>
      <c r="E437" s="37"/>
      <c r="F437" s="37"/>
      <c r="G437" s="37"/>
      <c r="H437" s="37"/>
      <c r="I437" s="37"/>
      <c r="J437" s="37"/>
      <c r="K437" s="37"/>
      <c r="L437" s="37"/>
    </row>
    <row r="438" spans="1:12" ht="15.75" customHeight="1" x14ac:dyDescent="0.2">
      <c r="A438" s="37"/>
      <c r="B438" s="37"/>
      <c r="C438" s="37"/>
      <c r="D438" s="37"/>
      <c r="E438" s="37"/>
      <c r="F438" s="37"/>
      <c r="G438" s="37"/>
      <c r="H438" s="37"/>
      <c r="I438" s="37"/>
      <c r="J438" s="37"/>
      <c r="K438" s="37"/>
      <c r="L438" s="37"/>
    </row>
    <row r="439" spans="1:12" ht="15.75" customHeight="1" x14ac:dyDescent="0.2">
      <c r="A439" s="37"/>
      <c r="B439" s="37"/>
      <c r="C439" s="37"/>
      <c r="D439" s="37"/>
      <c r="E439" s="37"/>
      <c r="F439" s="37"/>
      <c r="G439" s="37"/>
      <c r="H439" s="37"/>
      <c r="I439" s="37"/>
      <c r="J439" s="37"/>
      <c r="K439" s="37"/>
      <c r="L439" s="37"/>
    </row>
    <row r="440" spans="1:12" ht="15.75" customHeight="1" x14ac:dyDescent="0.2">
      <c r="A440" s="37"/>
      <c r="B440" s="37"/>
      <c r="C440" s="37"/>
      <c r="D440" s="37"/>
      <c r="E440" s="37"/>
      <c r="F440" s="37"/>
      <c r="G440" s="37"/>
      <c r="H440" s="37"/>
      <c r="I440" s="37"/>
      <c r="J440" s="37"/>
      <c r="K440" s="37"/>
      <c r="L440" s="37"/>
    </row>
    <row r="441" spans="1:12" ht="15.75" customHeight="1" x14ac:dyDescent="0.2">
      <c r="A441" s="37"/>
      <c r="B441" s="37"/>
      <c r="C441" s="37"/>
      <c r="D441" s="37"/>
      <c r="E441" s="37"/>
      <c r="F441" s="37"/>
      <c r="G441" s="37"/>
      <c r="H441" s="37"/>
      <c r="I441" s="37"/>
      <c r="J441" s="37"/>
      <c r="K441" s="37"/>
      <c r="L441" s="37"/>
    </row>
    <row r="442" spans="1:12" ht="15.75" customHeight="1" x14ac:dyDescent="0.2">
      <c r="A442" s="37"/>
      <c r="B442" s="37"/>
      <c r="C442" s="37"/>
      <c r="D442" s="37"/>
      <c r="E442" s="37"/>
      <c r="F442" s="37"/>
      <c r="G442" s="37"/>
      <c r="H442" s="37"/>
      <c r="I442" s="37"/>
      <c r="J442" s="37"/>
      <c r="K442" s="37"/>
      <c r="L442" s="37"/>
    </row>
    <row r="443" spans="1:12" ht="15.75" customHeight="1" x14ac:dyDescent="0.2">
      <c r="A443" s="37"/>
      <c r="B443" s="37"/>
      <c r="C443" s="37"/>
      <c r="D443" s="37"/>
      <c r="E443" s="37"/>
      <c r="F443" s="37"/>
      <c r="G443" s="37"/>
      <c r="H443" s="37"/>
      <c r="I443" s="37"/>
      <c r="J443" s="37"/>
      <c r="K443" s="37"/>
      <c r="L443" s="37"/>
    </row>
    <row r="444" spans="1:12" ht="15.75" customHeight="1" x14ac:dyDescent="0.2">
      <c r="A444" s="37"/>
      <c r="B444" s="37"/>
      <c r="C444" s="37"/>
      <c r="D444" s="37"/>
      <c r="E444" s="37"/>
      <c r="F444" s="37"/>
      <c r="G444" s="37"/>
      <c r="H444" s="37"/>
      <c r="I444" s="37"/>
      <c r="J444" s="37"/>
      <c r="K444" s="37"/>
      <c r="L444" s="37"/>
    </row>
    <row r="445" spans="1:12" ht="15.75" customHeight="1" x14ac:dyDescent="0.2">
      <c r="A445" s="37"/>
      <c r="B445" s="37"/>
      <c r="C445" s="37"/>
      <c r="D445" s="37"/>
      <c r="E445" s="37"/>
      <c r="F445" s="37"/>
      <c r="G445" s="37"/>
      <c r="H445" s="37"/>
      <c r="I445" s="37"/>
      <c r="J445" s="37"/>
      <c r="K445" s="37"/>
      <c r="L445" s="37"/>
    </row>
    <row r="446" spans="1:12" ht="15.75" customHeight="1" x14ac:dyDescent="0.2">
      <c r="A446" s="37"/>
      <c r="B446" s="37"/>
      <c r="C446" s="37"/>
      <c r="D446" s="37"/>
      <c r="E446" s="37"/>
      <c r="F446" s="37"/>
      <c r="G446" s="37"/>
      <c r="H446" s="37"/>
      <c r="I446" s="37"/>
      <c r="J446" s="37"/>
      <c r="K446" s="37"/>
      <c r="L446" s="37"/>
    </row>
    <row r="447" spans="1:12" ht="15.75" customHeight="1" x14ac:dyDescent="0.2">
      <c r="A447" s="37"/>
      <c r="B447" s="37"/>
      <c r="C447" s="37"/>
      <c r="D447" s="37"/>
      <c r="E447" s="37"/>
      <c r="F447" s="37"/>
      <c r="G447" s="37"/>
      <c r="H447" s="37"/>
      <c r="I447" s="37"/>
      <c r="J447" s="37"/>
      <c r="K447" s="37"/>
      <c r="L447" s="37"/>
    </row>
    <row r="448" spans="1:12" ht="15.75" customHeight="1" x14ac:dyDescent="0.2">
      <c r="A448" s="37"/>
      <c r="B448" s="37"/>
      <c r="C448" s="37"/>
      <c r="D448" s="37"/>
      <c r="E448" s="37"/>
      <c r="F448" s="37"/>
      <c r="G448" s="37"/>
      <c r="H448" s="37"/>
      <c r="I448" s="37"/>
      <c r="J448" s="37"/>
      <c r="K448" s="37"/>
      <c r="L448" s="37"/>
    </row>
    <row r="449" spans="1:12" ht="15.75" customHeight="1" x14ac:dyDescent="0.2">
      <c r="A449" s="37"/>
      <c r="B449" s="37"/>
      <c r="C449" s="37"/>
      <c r="D449" s="37"/>
      <c r="E449" s="37"/>
      <c r="F449" s="37"/>
      <c r="G449" s="37"/>
      <c r="H449" s="37"/>
      <c r="I449" s="37"/>
      <c r="J449" s="37"/>
      <c r="K449" s="37"/>
      <c r="L449" s="37"/>
    </row>
    <row r="450" spans="1:12" ht="15.75" customHeight="1" x14ac:dyDescent="0.2">
      <c r="A450" s="37"/>
      <c r="B450" s="37"/>
      <c r="C450" s="37"/>
      <c r="D450" s="37"/>
      <c r="E450" s="37"/>
      <c r="F450" s="37"/>
      <c r="G450" s="37"/>
      <c r="H450" s="37"/>
      <c r="I450" s="37"/>
      <c r="J450" s="37"/>
      <c r="K450" s="37"/>
      <c r="L450" s="37"/>
    </row>
    <row r="451" spans="1:12" ht="15.75" customHeight="1" x14ac:dyDescent="0.2">
      <c r="A451" s="37"/>
      <c r="B451" s="37"/>
      <c r="C451" s="37"/>
      <c r="D451" s="37"/>
      <c r="E451" s="37"/>
      <c r="F451" s="37"/>
      <c r="G451" s="37"/>
      <c r="H451" s="37"/>
      <c r="I451" s="37"/>
      <c r="J451" s="37"/>
      <c r="K451" s="37"/>
      <c r="L451" s="37"/>
    </row>
    <row r="452" spans="1:12" ht="15.75" customHeight="1" x14ac:dyDescent="0.2">
      <c r="A452" s="37"/>
      <c r="B452" s="37"/>
      <c r="C452" s="37"/>
      <c r="D452" s="37"/>
      <c r="E452" s="37"/>
      <c r="F452" s="37"/>
      <c r="G452" s="37"/>
      <c r="H452" s="37"/>
      <c r="I452" s="37"/>
      <c r="J452" s="37"/>
      <c r="K452" s="37"/>
      <c r="L452" s="37"/>
    </row>
    <row r="453" spans="1:12" ht="15.75" customHeight="1" x14ac:dyDescent="0.2">
      <c r="A453" s="37"/>
      <c r="B453" s="37"/>
      <c r="C453" s="37"/>
      <c r="D453" s="37"/>
      <c r="E453" s="37"/>
      <c r="F453" s="37"/>
      <c r="G453" s="37"/>
      <c r="H453" s="37"/>
      <c r="I453" s="37"/>
      <c r="J453" s="37"/>
      <c r="K453" s="37"/>
      <c r="L453" s="37"/>
    </row>
    <row r="454" spans="1:12" ht="15.75" customHeight="1" x14ac:dyDescent="0.2">
      <c r="A454" s="37"/>
      <c r="B454" s="37"/>
      <c r="C454" s="37"/>
      <c r="D454" s="37"/>
      <c r="E454" s="37"/>
      <c r="F454" s="37"/>
      <c r="G454" s="37"/>
      <c r="H454" s="37"/>
      <c r="I454" s="37"/>
      <c r="J454" s="37"/>
      <c r="K454" s="37"/>
      <c r="L454" s="37"/>
    </row>
    <row r="455" spans="1:12" ht="15.75" customHeight="1" x14ac:dyDescent="0.2">
      <c r="A455" s="37"/>
      <c r="B455" s="37"/>
      <c r="C455" s="37"/>
      <c r="D455" s="37"/>
      <c r="E455" s="37"/>
      <c r="F455" s="37"/>
      <c r="G455" s="37"/>
      <c r="H455" s="37"/>
      <c r="I455" s="37"/>
      <c r="J455" s="37"/>
      <c r="K455" s="37"/>
      <c r="L455" s="37"/>
    </row>
    <row r="456" spans="1:12" ht="15.75" customHeight="1" x14ac:dyDescent="0.2">
      <c r="A456" s="37"/>
      <c r="B456" s="37"/>
      <c r="C456" s="37"/>
      <c r="D456" s="37"/>
      <c r="E456" s="37"/>
      <c r="F456" s="37"/>
      <c r="G456" s="37"/>
      <c r="H456" s="37"/>
      <c r="I456" s="37"/>
      <c r="J456" s="37"/>
      <c r="K456" s="37"/>
      <c r="L456" s="37"/>
    </row>
    <row r="457" spans="1:12" ht="15.75" customHeight="1" x14ac:dyDescent="0.2">
      <c r="A457" s="37"/>
      <c r="B457" s="37"/>
      <c r="C457" s="37"/>
      <c r="D457" s="37"/>
      <c r="E457" s="37"/>
      <c r="F457" s="37"/>
      <c r="G457" s="37"/>
      <c r="H457" s="37"/>
      <c r="I457" s="37"/>
      <c r="J457" s="37"/>
      <c r="K457" s="37"/>
      <c r="L457" s="37"/>
    </row>
    <row r="458" spans="1:12" ht="15.75" customHeight="1" x14ac:dyDescent="0.2">
      <c r="A458" s="37"/>
      <c r="B458" s="37"/>
      <c r="C458" s="37"/>
      <c r="D458" s="37"/>
      <c r="E458" s="37"/>
      <c r="F458" s="37"/>
      <c r="G458" s="37"/>
      <c r="H458" s="37"/>
      <c r="I458" s="37"/>
      <c r="J458" s="37"/>
      <c r="K458" s="37"/>
      <c r="L458" s="37"/>
    </row>
    <row r="459" spans="1:12" ht="15.75" customHeight="1" x14ac:dyDescent="0.2">
      <c r="A459" s="37"/>
      <c r="B459" s="37"/>
      <c r="C459" s="37"/>
      <c r="D459" s="37"/>
      <c r="E459" s="37"/>
      <c r="F459" s="37"/>
      <c r="G459" s="37"/>
      <c r="H459" s="37"/>
      <c r="I459" s="37"/>
      <c r="J459" s="37"/>
      <c r="K459" s="37"/>
      <c r="L459" s="37"/>
    </row>
    <row r="460" spans="1:12" ht="15.75" customHeight="1" x14ac:dyDescent="0.2">
      <c r="A460" s="37"/>
      <c r="B460" s="37"/>
      <c r="C460" s="37"/>
      <c r="D460" s="37"/>
      <c r="E460" s="37"/>
      <c r="F460" s="37"/>
      <c r="G460" s="37"/>
      <c r="H460" s="37"/>
      <c r="I460" s="37"/>
      <c r="J460" s="37"/>
      <c r="K460" s="37"/>
      <c r="L460" s="37"/>
    </row>
    <row r="461" spans="1:12" ht="15.75" customHeight="1" x14ac:dyDescent="0.2">
      <c r="A461" s="37"/>
      <c r="B461" s="37"/>
      <c r="C461" s="37"/>
      <c r="D461" s="37"/>
      <c r="E461" s="37"/>
      <c r="F461" s="37"/>
      <c r="G461" s="37"/>
      <c r="H461" s="37"/>
      <c r="I461" s="37"/>
      <c r="J461" s="37"/>
      <c r="K461" s="37"/>
      <c r="L461" s="37"/>
    </row>
    <row r="462" spans="1:12" ht="15.75" customHeight="1" x14ac:dyDescent="0.2">
      <c r="A462" s="37"/>
      <c r="B462" s="37"/>
      <c r="C462" s="37"/>
      <c r="D462" s="37"/>
      <c r="E462" s="37"/>
      <c r="F462" s="37"/>
      <c r="G462" s="37"/>
      <c r="H462" s="37"/>
      <c r="I462" s="37"/>
      <c r="J462" s="37"/>
      <c r="K462" s="37"/>
      <c r="L462" s="37"/>
    </row>
    <row r="463" spans="1:12" ht="15.75" customHeight="1" x14ac:dyDescent="0.2">
      <c r="A463" s="37"/>
      <c r="B463" s="37"/>
      <c r="C463" s="37"/>
      <c r="D463" s="37"/>
      <c r="E463" s="37"/>
      <c r="F463" s="37"/>
      <c r="G463" s="37"/>
      <c r="H463" s="37"/>
      <c r="I463" s="37"/>
      <c r="J463" s="37"/>
      <c r="K463" s="37"/>
      <c r="L463" s="37"/>
    </row>
    <row r="464" spans="1:12" ht="15.75" customHeight="1" x14ac:dyDescent="0.2">
      <c r="A464" s="37"/>
      <c r="B464" s="37"/>
      <c r="C464" s="37"/>
      <c r="D464" s="37"/>
      <c r="E464" s="37"/>
      <c r="F464" s="37"/>
      <c r="G464" s="37"/>
      <c r="H464" s="37"/>
      <c r="I464" s="37"/>
      <c r="J464" s="37"/>
      <c r="K464" s="37"/>
      <c r="L464" s="37"/>
    </row>
    <row r="465" spans="1:12" ht="15.75" customHeight="1" x14ac:dyDescent="0.2">
      <c r="A465" s="37"/>
      <c r="B465" s="37"/>
      <c r="C465" s="37"/>
      <c r="D465" s="37"/>
      <c r="E465" s="37"/>
      <c r="F465" s="37"/>
      <c r="G465" s="37"/>
      <c r="H465" s="37"/>
      <c r="I465" s="37"/>
      <c r="J465" s="37"/>
      <c r="K465" s="37"/>
      <c r="L465" s="37"/>
    </row>
    <row r="466" spans="1:12" ht="15.75" customHeight="1" x14ac:dyDescent="0.2">
      <c r="A466" s="37"/>
      <c r="B466" s="37"/>
      <c r="C466" s="37"/>
      <c r="D466" s="37"/>
      <c r="E466" s="37"/>
      <c r="F466" s="37"/>
      <c r="G466" s="37"/>
      <c r="H466" s="37"/>
      <c r="I466" s="37"/>
      <c r="J466" s="37"/>
      <c r="K466" s="37"/>
      <c r="L466" s="37"/>
    </row>
    <row r="467" spans="1:12" ht="15.75" customHeight="1" x14ac:dyDescent="0.2">
      <c r="A467" s="37"/>
      <c r="B467" s="37"/>
      <c r="C467" s="37"/>
      <c r="D467" s="37"/>
      <c r="E467" s="37"/>
      <c r="F467" s="37"/>
      <c r="G467" s="37"/>
      <c r="H467" s="37"/>
      <c r="I467" s="37"/>
      <c r="J467" s="37"/>
      <c r="K467" s="37"/>
      <c r="L467" s="37"/>
    </row>
    <row r="468" spans="1:12" ht="15.75" customHeight="1" x14ac:dyDescent="0.2">
      <c r="A468" s="37"/>
      <c r="B468" s="37"/>
      <c r="C468" s="37"/>
      <c r="D468" s="37"/>
      <c r="E468" s="37"/>
      <c r="F468" s="37"/>
      <c r="G468" s="37"/>
      <c r="H468" s="37"/>
      <c r="I468" s="37"/>
      <c r="J468" s="37"/>
      <c r="K468" s="37"/>
      <c r="L468" s="37"/>
    </row>
    <row r="469" spans="1:12" ht="15.75" customHeight="1" x14ac:dyDescent="0.2">
      <c r="A469" s="37"/>
      <c r="B469" s="37"/>
      <c r="C469" s="37"/>
      <c r="D469" s="37"/>
      <c r="E469" s="37"/>
      <c r="F469" s="37"/>
      <c r="G469" s="37"/>
      <c r="H469" s="37"/>
      <c r="I469" s="37"/>
      <c r="J469" s="37"/>
      <c r="K469" s="37"/>
      <c r="L469" s="37"/>
    </row>
    <row r="470" spans="1:12" ht="15.75" customHeight="1" x14ac:dyDescent="0.2">
      <c r="A470" s="37"/>
      <c r="B470" s="37"/>
      <c r="C470" s="37"/>
      <c r="D470" s="37"/>
      <c r="E470" s="37"/>
      <c r="F470" s="37"/>
      <c r="G470" s="37"/>
      <c r="H470" s="37"/>
      <c r="I470" s="37"/>
      <c r="J470" s="37"/>
      <c r="K470" s="37"/>
      <c r="L470" s="37"/>
    </row>
    <row r="471" spans="1:12" ht="15.75" customHeight="1" x14ac:dyDescent="0.2">
      <c r="A471" s="37"/>
      <c r="B471" s="37"/>
      <c r="C471" s="37"/>
      <c r="D471" s="37"/>
      <c r="E471" s="37"/>
      <c r="F471" s="37"/>
      <c r="G471" s="37"/>
      <c r="H471" s="37"/>
      <c r="I471" s="37"/>
      <c r="J471" s="37"/>
      <c r="K471" s="37"/>
      <c r="L471" s="37"/>
    </row>
    <row r="472" spans="1:12" ht="15.75" customHeight="1" x14ac:dyDescent="0.2">
      <c r="A472" s="37"/>
      <c r="B472" s="37"/>
      <c r="C472" s="37"/>
      <c r="D472" s="37"/>
      <c r="E472" s="37"/>
      <c r="F472" s="37"/>
      <c r="G472" s="37"/>
      <c r="H472" s="37"/>
      <c r="I472" s="37"/>
      <c r="J472" s="37"/>
      <c r="K472" s="37"/>
      <c r="L472" s="37"/>
    </row>
    <row r="473" spans="1:12" ht="15.75" customHeight="1" x14ac:dyDescent="0.2">
      <c r="A473" s="37"/>
      <c r="B473" s="37"/>
      <c r="C473" s="37"/>
      <c r="D473" s="37"/>
      <c r="E473" s="37"/>
      <c r="F473" s="37"/>
      <c r="G473" s="37"/>
      <c r="H473" s="37"/>
      <c r="I473" s="37"/>
      <c r="J473" s="37"/>
      <c r="K473" s="37"/>
      <c r="L473" s="37"/>
    </row>
    <row r="474" spans="1:12" ht="15.75" customHeight="1" x14ac:dyDescent="0.2">
      <c r="A474" s="37"/>
      <c r="B474" s="37"/>
      <c r="C474" s="37"/>
      <c r="D474" s="37"/>
      <c r="E474" s="37"/>
      <c r="F474" s="37"/>
      <c r="G474" s="37"/>
      <c r="H474" s="37"/>
      <c r="I474" s="37"/>
      <c r="J474" s="37"/>
      <c r="K474" s="37"/>
      <c r="L474" s="37"/>
    </row>
    <row r="475" spans="1:12" ht="15.75" customHeight="1" x14ac:dyDescent="0.2">
      <c r="A475" s="37"/>
      <c r="B475" s="37"/>
      <c r="C475" s="37"/>
      <c r="D475" s="37"/>
      <c r="E475" s="37"/>
      <c r="F475" s="37"/>
      <c r="G475" s="37"/>
      <c r="H475" s="37"/>
      <c r="I475" s="37"/>
      <c r="J475" s="37"/>
      <c r="K475" s="37"/>
      <c r="L475" s="37"/>
    </row>
    <row r="476" spans="1:12" ht="15.75" customHeight="1" x14ac:dyDescent="0.2">
      <c r="A476" s="37"/>
      <c r="B476" s="37"/>
      <c r="C476" s="37"/>
      <c r="D476" s="37"/>
      <c r="E476" s="37"/>
      <c r="F476" s="37"/>
      <c r="G476" s="37"/>
      <c r="H476" s="37"/>
      <c r="I476" s="37"/>
      <c r="J476" s="37"/>
      <c r="K476" s="37"/>
      <c r="L476" s="37"/>
    </row>
    <row r="477" spans="1:12" ht="15.75" customHeight="1" x14ac:dyDescent="0.2">
      <c r="A477" s="37"/>
      <c r="B477" s="37"/>
      <c r="C477" s="37"/>
      <c r="D477" s="37"/>
      <c r="E477" s="37"/>
      <c r="F477" s="37"/>
      <c r="G477" s="37"/>
      <c r="H477" s="37"/>
      <c r="I477" s="37"/>
      <c r="J477" s="37"/>
      <c r="K477" s="37"/>
      <c r="L477" s="37"/>
    </row>
    <row r="478" spans="1:12" ht="15.75" customHeight="1" x14ac:dyDescent="0.2">
      <c r="A478" s="37"/>
      <c r="B478" s="37"/>
      <c r="C478" s="37"/>
      <c r="D478" s="37"/>
      <c r="E478" s="37"/>
      <c r="F478" s="37"/>
      <c r="G478" s="37"/>
      <c r="H478" s="37"/>
      <c r="I478" s="37"/>
      <c r="J478" s="37"/>
      <c r="K478" s="37"/>
      <c r="L478" s="37"/>
    </row>
    <row r="479" spans="1:12" ht="15.75" customHeight="1" x14ac:dyDescent="0.2">
      <c r="A479" s="37"/>
      <c r="B479" s="37"/>
      <c r="C479" s="37"/>
      <c r="D479" s="37"/>
      <c r="E479" s="37"/>
      <c r="F479" s="37"/>
      <c r="G479" s="37"/>
      <c r="H479" s="37"/>
      <c r="I479" s="37"/>
      <c r="J479" s="37"/>
      <c r="K479" s="37"/>
      <c r="L479" s="37"/>
    </row>
    <row r="480" spans="1:12" ht="15.75" customHeight="1" x14ac:dyDescent="0.2">
      <c r="A480" s="37"/>
      <c r="B480" s="37"/>
      <c r="C480" s="37"/>
      <c r="D480" s="37"/>
      <c r="E480" s="37"/>
      <c r="F480" s="37"/>
      <c r="G480" s="37"/>
      <c r="H480" s="37"/>
      <c r="I480" s="37"/>
      <c r="J480" s="37"/>
      <c r="K480" s="37"/>
      <c r="L480" s="37"/>
    </row>
    <row r="481" spans="1:12" ht="15.75" customHeight="1" x14ac:dyDescent="0.2">
      <c r="A481" s="37"/>
      <c r="B481" s="37"/>
      <c r="C481" s="37"/>
      <c r="D481" s="37"/>
      <c r="E481" s="37"/>
      <c r="F481" s="37"/>
      <c r="G481" s="37"/>
      <c r="H481" s="37"/>
      <c r="I481" s="37"/>
      <c r="J481" s="37"/>
      <c r="K481" s="37"/>
      <c r="L481" s="37"/>
    </row>
    <row r="482" spans="1:12" ht="15.75" customHeight="1" x14ac:dyDescent="0.2">
      <c r="A482" s="37"/>
      <c r="B482" s="37"/>
      <c r="C482" s="37"/>
      <c r="D482" s="37"/>
      <c r="E482" s="37"/>
      <c r="F482" s="37"/>
      <c r="G482" s="37"/>
      <c r="H482" s="37"/>
      <c r="I482" s="37"/>
      <c r="J482" s="37"/>
      <c r="K482" s="37"/>
      <c r="L482" s="37"/>
    </row>
    <row r="483" spans="1:12" ht="15.75" customHeight="1" x14ac:dyDescent="0.2">
      <c r="A483" s="37"/>
      <c r="B483" s="37"/>
      <c r="C483" s="37"/>
      <c r="D483" s="37"/>
      <c r="E483" s="37"/>
      <c r="F483" s="37"/>
      <c r="G483" s="37"/>
      <c r="H483" s="37"/>
      <c r="I483" s="37"/>
      <c r="J483" s="37"/>
      <c r="K483" s="37"/>
      <c r="L483" s="37"/>
    </row>
    <row r="484" spans="1:12" ht="15.75" customHeight="1" x14ac:dyDescent="0.2">
      <c r="A484" s="37"/>
      <c r="B484" s="37"/>
      <c r="C484" s="37"/>
      <c r="D484" s="37"/>
      <c r="E484" s="37"/>
      <c r="F484" s="37"/>
      <c r="G484" s="37"/>
      <c r="H484" s="37"/>
      <c r="I484" s="37"/>
      <c r="J484" s="37"/>
      <c r="K484" s="37"/>
      <c r="L484" s="37"/>
    </row>
    <row r="485" spans="1:12" ht="15.75" customHeight="1" x14ac:dyDescent="0.2">
      <c r="A485" s="37"/>
      <c r="B485" s="37"/>
      <c r="C485" s="37"/>
      <c r="D485" s="37"/>
      <c r="E485" s="37"/>
      <c r="F485" s="37"/>
      <c r="G485" s="37"/>
      <c r="H485" s="37"/>
      <c r="I485" s="37"/>
      <c r="J485" s="37"/>
      <c r="K485" s="37"/>
      <c r="L485" s="37"/>
    </row>
    <row r="486" spans="1:12" ht="15.75" customHeight="1" x14ac:dyDescent="0.2">
      <c r="A486" s="37"/>
      <c r="B486" s="37"/>
      <c r="C486" s="37"/>
      <c r="D486" s="37"/>
      <c r="E486" s="37"/>
      <c r="F486" s="37"/>
      <c r="G486" s="37"/>
      <c r="H486" s="37"/>
      <c r="I486" s="37"/>
      <c r="J486" s="37"/>
      <c r="K486" s="37"/>
      <c r="L486" s="37"/>
    </row>
    <row r="487" spans="1:12" ht="15.75" customHeight="1" x14ac:dyDescent="0.2">
      <c r="A487" s="37"/>
      <c r="B487" s="37"/>
      <c r="C487" s="37"/>
      <c r="D487" s="37"/>
      <c r="E487" s="37"/>
      <c r="F487" s="37"/>
      <c r="G487" s="37"/>
      <c r="H487" s="37"/>
      <c r="I487" s="37"/>
      <c r="J487" s="37"/>
      <c r="K487" s="37"/>
      <c r="L487" s="37"/>
    </row>
    <row r="488" spans="1:12" ht="15.75" customHeight="1" x14ac:dyDescent="0.2">
      <c r="A488" s="37"/>
      <c r="B488" s="37"/>
      <c r="C488" s="37"/>
      <c r="D488" s="37"/>
      <c r="E488" s="37"/>
      <c r="F488" s="37"/>
      <c r="G488" s="37"/>
      <c r="H488" s="37"/>
      <c r="I488" s="37"/>
      <c r="J488" s="37"/>
      <c r="K488" s="37"/>
      <c r="L488" s="37"/>
    </row>
    <row r="489" spans="1:12" ht="15.75" customHeight="1" x14ac:dyDescent="0.2">
      <c r="A489" s="37"/>
      <c r="B489" s="37"/>
      <c r="C489" s="37"/>
      <c r="D489" s="37"/>
      <c r="E489" s="37"/>
      <c r="F489" s="37"/>
      <c r="G489" s="37"/>
      <c r="H489" s="37"/>
      <c r="I489" s="37"/>
      <c r="J489" s="37"/>
      <c r="K489" s="37"/>
      <c r="L489" s="37"/>
    </row>
    <row r="490" spans="1:12" ht="15.75" customHeight="1" x14ac:dyDescent="0.2">
      <c r="A490" s="37"/>
      <c r="B490" s="37"/>
      <c r="C490" s="37"/>
      <c r="D490" s="37"/>
      <c r="E490" s="37"/>
      <c r="F490" s="37"/>
      <c r="G490" s="37"/>
      <c r="H490" s="37"/>
      <c r="I490" s="37"/>
      <c r="J490" s="37"/>
      <c r="K490" s="37"/>
      <c r="L490" s="37"/>
    </row>
    <row r="491" spans="1:12" ht="15.75" customHeight="1" x14ac:dyDescent="0.2">
      <c r="A491" s="37"/>
      <c r="B491" s="37"/>
      <c r="C491" s="37"/>
      <c r="D491" s="37"/>
      <c r="E491" s="37"/>
      <c r="F491" s="37"/>
      <c r="G491" s="37"/>
      <c r="H491" s="37"/>
      <c r="I491" s="37"/>
      <c r="J491" s="37"/>
      <c r="K491" s="37"/>
      <c r="L491" s="37"/>
    </row>
    <row r="492" spans="1:12" ht="15.75" customHeight="1" x14ac:dyDescent="0.2">
      <c r="A492" s="37"/>
      <c r="B492" s="37"/>
      <c r="C492" s="37"/>
      <c r="D492" s="37"/>
      <c r="E492" s="37"/>
      <c r="F492" s="37"/>
      <c r="G492" s="37"/>
      <c r="H492" s="37"/>
      <c r="I492" s="37"/>
      <c r="J492" s="37"/>
      <c r="K492" s="37"/>
      <c r="L492" s="37"/>
    </row>
    <row r="493" spans="1:12" ht="15.75" customHeight="1" x14ac:dyDescent="0.2">
      <c r="A493" s="37"/>
      <c r="B493" s="37"/>
      <c r="C493" s="37"/>
      <c r="D493" s="37"/>
      <c r="E493" s="37"/>
      <c r="F493" s="37"/>
      <c r="G493" s="37"/>
      <c r="H493" s="37"/>
      <c r="I493" s="37"/>
      <c r="J493" s="37"/>
      <c r="K493" s="37"/>
      <c r="L493" s="37"/>
    </row>
    <row r="494" spans="1:12" ht="15.75" customHeight="1" x14ac:dyDescent="0.2">
      <c r="A494" s="37"/>
      <c r="B494" s="37"/>
      <c r="C494" s="37"/>
      <c r="D494" s="37"/>
      <c r="E494" s="37"/>
      <c r="F494" s="37"/>
      <c r="G494" s="37"/>
      <c r="H494" s="37"/>
      <c r="I494" s="37"/>
      <c r="J494" s="37"/>
      <c r="K494" s="37"/>
      <c r="L494" s="37"/>
    </row>
    <row r="495" spans="1:12" ht="15.75" customHeight="1" x14ac:dyDescent="0.2">
      <c r="A495" s="37"/>
      <c r="B495" s="37"/>
      <c r="C495" s="37"/>
      <c r="D495" s="37"/>
      <c r="E495" s="37"/>
      <c r="F495" s="37"/>
      <c r="G495" s="37"/>
      <c r="H495" s="37"/>
      <c r="I495" s="37"/>
      <c r="J495" s="37"/>
      <c r="K495" s="37"/>
      <c r="L495" s="37"/>
    </row>
    <row r="496" spans="1:12" ht="15.75" customHeight="1" x14ac:dyDescent="0.2">
      <c r="A496" s="37"/>
      <c r="B496" s="37"/>
      <c r="C496" s="37"/>
      <c r="D496" s="37"/>
      <c r="E496" s="37"/>
      <c r="F496" s="37"/>
      <c r="G496" s="37"/>
      <c r="H496" s="37"/>
      <c r="I496" s="37"/>
      <c r="J496" s="37"/>
      <c r="K496" s="37"/>
      <c r="L496" s="37"/>
    </row>
    <row r="497" spans="1:12" ht="15.75" customHeight="1" x14ac:dyDescent="0.2">
      <c r="A497" s="37"/>
      <c r="B497" s="37"/>
      <c r="C497" s="37"/>
      <c r="D497" s="37"/>
      <c r="E497" s="37"/>
      <c r="F497" s="37"/>
      <c r="G497" s="37"/>
      <c r="H497" s="37"/>
      <c r="I497" s="37"/>
      <c r="J497" s="37"/>
      <c r="K497" s="37"/>
      <c r="L497" s="37"/>
    </row>
    <row r="498" spans="1:12" ht="15.75" customHeight="1" x14ac:dyDescent="0.2">
      <c r="A498" s="37"/>
      <c r="B498" s="37"/>
      <c r="C498" s="37"/>
      <c r="D498" s="37"/>
      <c r="E498" s="37"/>
      <c r="F498" s="37"/>
      <c r="G498" s="37"/>
      <c r="H498" s="37"/>
      <c r="I498" s="37"/>
      <c r="J498" s="37"/>
      <c r="K498" s="37"/>
      <c r="L498" s="37"/>
    </row>
    <row r="499" spans="1:12" ht="15.75" customHeight="1" x14ac:dyDescent="0.2">
      <c r="A499" s="37"/>
      <c r="B499" s="37"/>
      <c r="C499" s="37"/>
      <c r="D499" s="37"/>
      <c r="E499" s="37"/>
      <c r="F499" s="37"/>
      <c r="G499" s="37"/>
      <c r="H499" s="37"/>
      <c r="I499" s="37"/>
      <c r="J499" s="37"/>
      <c r="K499" s="37"/>
      <c r="L499" s="37"/>
    </row>
    <row r="500" spans="1:12" ht="15.75" customHeight="1" x14ac:dyDescent="0.2">
      <c r="A500" s="37"/>
      <c r="B500" s="37"/>
      <c r="C500" s="37"/>
      <c r="D500" s="37"/>
      <c r="E500" s="37"/>
      <c r="F500" s="37"/>
      <c r="G500" s="37"/>
      <c r="H500" s="37"/>
      <c r="I500" s="37"/>
      <c r="J500" s="37"/>
      <c r="K500" s="37"/>
      <c r="L500" s="37"/>
    </row>
    <row r="501" spans="1:12" ht="15.75" customHeight="1" x14ac:dyDescent="0.2">
      <c r="A501" s="37"/>
      <c r="B501" s="37"/>
      <c r="C501" s="37"/>
      <c r="D501" s="37"/>
      <c r="E501" s="37"/>
      <c r="F501" s="37"/>
      <c r="G501" s="37"/>
      <c r="H501" s="37"/>
      <c r="I501" s="37"/>
      <c r="J501" s="37"/>
      <c r="K501" s="37"/>
      <c r="L501" s="37"/>
    </row>
    <row r="502" spans="1:12" ht="15.75" customHeight="1" x14ac:dyDescent="0.2">
      <c r="A502" s="37"/>
      <c r="B502" s="37"/>
      <c r="C502" s="37"/>
      <c r="D502" s="37"/>
      <c r="E502" s="37"/>
      <c r="F502" s="37"/>
      <c r="G502" s="37"/>
      <c r="H502" s="37"/>
      <c r="I502" s="37"/>
      <c r="J502" s="37"/>
      <c r="K502" s="37"/>
      <c r="L502" s="37"/>
    </row>
    <row r="503" spans="1:12" ht="15.75" customHeight="1" x14ac:dyDescent="0.2">
      <c r="A503" s="37"/>
      <c r="B503" s="37"/>
      <c r="C503" s="37"/>
      <c r="D503" s="37"/>
      <c r="E503" s="37"/>
      <c r="F503" s="37"/>
      <c r="G503" s="37"/>
      <c r="H503" s="37"/>
      <c r="I503" s="37"/>
      <c r="J503" s="37"/>
      <c r="K503" s="37"/>
      <c r="L503" s="37"/>
    </row>
    <row r="504" spans="1:12" ht="15.75" customHeight="1" x14ac:dyDescent="0.2">
      <c r="A504" s="37"/>
      <c r="B504" s="37"/>
      <c r="C504" s="37"/>
      <c r="D504" s="37"/>
      <c r="E504" s="37"/>
      <c r="F504" s="37"/>
      <c r="G504" s="37"/>
      <c r="H504" s="37"/>
      <c r="I504" s="37"/>
      <c r="J504" s="37"/>
      <c r="K504" s="37"/>
      <c r="L504" s="37"/>
    </row>
    <row r="505" spans="1:12" ht="15.75" customHeight="1" x14ac:dyDescent="0.2">
      <c r="A505" s="37"/>
      <c r="B505" s="37"/>
      <c r="C505" s="37"/>
      <c r="D505" s="37"/>
      <c r="E505" s="37"/>
      <c r="F505" s="37"/>
      <c r="G505" s="37"/>
      <c r="H505" s="37"/>
      <c r="I505" s="37"/>
      <c r="J505" s="37"/>
      <c r="K505" s="37"/>
      <c r="L505" s="37"/>
    </row>
    <row r="506" spans="1:12" ht="15.75" customHeight="1" x14ac:dyDescent="0.2">
      <c r="A506" s="37"/>
      <c r="B506" s="37"/>
      <c r="C506" s="37"/>
      <c r="D506" s="37"/>
      <c r="E506" s="37"/>
      <c r="F506" s="37"/>
      <c r="G506" s="37"/>
      <c r="H506" s="37"/>
      <c r="I506" s="37"/>
      <c r="J506" s="37"/>
      <c r="K506" s="37"/>
      <c r="L506" s="37"/>
    </row>
    <row r="507" spans="1:12" ht="15.75" customHeight="1" x14ac:dyDescent="0.2">
      <c r="A507" s="37"/>
      <c r="B507" s="37"/>
      <c r="C507" s="37"/>
      <c r="D507" s="37"/>
      <c r="E507" s="37"/>
      <c r="F507" s="37"/>
      <c r="G507" s="37"/>
      <c r="H507" s="37"/>
      <c r="I507" s="37"/>
      <c r="J507" s="37"/>
      <c r="K507" s="37"/>
      <c r="L507" s="37"/>
    </row>
    <row r="508" spans="1:12" ht="15.75" customHeight="1" x14ac:dyDescent="0.2">
      <c r="A508" s="37"/>
      <c r="B508" s="37"/>
      <c r="C508" s="37"/>
      <c r="D508" s="37"/>
      <c r="E508" s="37"/>
      <c r="F508" s="37"/>
      <c r="G508" s="37"/>
      <c r="H508" s="37"/>
      <c r="I508" s="37"/>
      <c r="J508" s="37"/>
      <c r="K508" s="37"/>
      <c r="L508" s="37"/>
    </row>
    <row r="509" spans="1:12" ht="15.75" customHeight="1" x14ac:dyDescent="0.2">
      <c r="A509" s="37"/>
      <c r="B509" s="37"/>
      <c r="C509" s="37"/>
      <c r="D509" s="37"/>
      <c r="E509" s="37"/>
      <c r="F509" s="37"/>
      <c r="G509" s="37"/>
      <c r="H509" s="37"/>
      <c r="I509" s="37"/>
      <c r="J509" s="37"/>
      <c r="K509" s="37"/>
      <c r="L509" s="37"/>
    </row>
    <row r="510" spans="1:12" ht="15.75" customHeight="1" x14ac:dyDescent="0.2">
      <c r="A510" s="37"/>
      <c r="B510" s="37"/>
      <c r="C510" s="37"/>
      <c r="D510" s="37"/>
      <c r="E510" s="37"/>
      <c r="F510" s="37"/>
      <c r="G510" s="37"/>
      <c r="H510" s="37"/>
      <c r="I510" s="37"/>
      <c r="J510" s="37"/>
      <c r="K510" s="37"/>
      <c r="L510" s="37"/>
    </row>
    <row r="511" spans="1:12" ht="15.75" customHeight="1" x14ac:dyDescent="0.2">
      <c r="A511" s="37"/>
      <c r="B511" s="37"/>
      <c r="C511" s="37"/>
      <c r="D511" s="37"/>
      <c r="E511" s="37"/>
      <c r="F511" s="37"/>
      <c r="G511" s="37"/>
      <c r="H511" s="37"/>
      <c r="I511" s="37"/>
      <c r="J511" s="37"/>
      <c r="K511" s="37"/>
      <c r="L511" s="37"/>
    </row>
    <row r="512" spans="1:12" ht="15.75" customHeight="1" x14ac:dyDescent="0.2">
      <c r="A512" s="37"/>
      <c r="B512" s="37"/>
      <c r="C512" s="37"/>
      <c r="D512" s="37"/>
      <c r="E512" s="37"/>
      <c r="F512" s="37"/>
      <c r="G512" s="37"/>
      <c r="H512" s="37"/>
      <c r="I512" s="37"/>
      <c r="J512" s="37"/>
      <c r="K512" s="37"/>
      <c r="L512" s="37"/>
    </row>
    <row r="513" spans="1:12" ht="15.75" customHeight="1" x14ac:dyDescent="0.2">
      <c r="A513" s="37"/>
      <c r="B513" s="37"/>
      <c r="C513" s="37"/>
      <c r="D513" s="37"/>
      <c r="E513" s="37"/>
      <c r="F513" s="37"/>
      <c r="G513" s="37"/>
      <c r="H513" s="37"/>
      <c r="I513" s="37"/>
      <c r="J513" s="37"/>
      <c r="K513" s="37"/>
      <c r="L513" s="37"/>
    </row>
    <row r="514" spans="1:12" ht="15.75" customHeight="1" x14ac:dyDescent="0.2">
      <c r="A514" s="37"/>
      <c r="B514" s="37"/>
      <c r="C514" s="37"/>
      <c r="D514" s="37"/>
      <c r="E514" s="37"/>
      <c r="F514" s="37"/>
      <c r="G514" s="37"/>
      <c r="H514" s="37"/>
      <c r="I514" s="37"/>
      <c r="J514" s="37"/>
      <c r="K514" s="37"/>
      <c r="L514" s="37"/>
    </row>
    <row r="515" spans="1:12" ht="15.75" customHeight="1" x14ac:dyDescent="0.2">
      <c r="A515" s="37"/>
      <c r="B515" s="37"/>
      <c r="C515" s="37"/>
      <c r="D515" s="37"/>
      <c r="E515" s="37"/>
      <c r="F515" s="37"/>
      <c r="G515" s="37"/>
      <c r="H515" s="37"/>
      <c r="I515" s="37"/>
      <c r="J515" s="37"/>
      <c r="K515" s="37"/>
      <c r="L515" s="37"/>
    </row>
    <row r="516" spans="1:12" ht="15.75" customHeight="1" x14ac:dyDescent="0.2">
      <c r="A516" s="37"/>
      <c r="B516" s="37"/>
      <c r="C516" s="37"/>
      <c r="D516" s="37"/>
      <c r="E516" s="37"/>
      <c r="F516" s="37"/>
      <c r="G516" s="37"/>
      <c r="H516" s="37"/>
      <c r="I516" s="37"/>
      <c r="J516" s="37"/>
      <c r="K516" s="37"/>
      <c r="L516" s="37"/>
    </row>
    <row r="517" spans="1:12" ht="15.75" customHeight="1" x14ac:dyDescent="0.2">
      <c r="A517" s="37"/>
      <c r="B517" s="37"/>
      <c r="C517" s="37"/>
      <c r="D517" s="37"/>
      <c r="E517" s="37"/>
      <c r="F517" s="37"/>
      <c r="G517" s="37"/>
      <c r="H517" s="37"/>
      <c r="I517" s="37"/>
      <c r="J517" s="37"/>
      <c r="K517" s="37"/>
      <c r="L517" s="37"/>
    </row>
    <row r="518" spans="1:12" ht="15.75" customHeight="1" x14ac:dyDescent="0.2">
      <c r="A518" s="37"/>
      <c r="B518" s="37"/>
      <c r="C518" s="37"/>
      <c r="D518" s="37"/>
      <c r="E518" s="37"/>
      <c r="F518" s="37"/>
      <c r="G518" s="37"/>
      <c r="H518" s="37"/>
      <c r="I518" s="37"/>
      <c r="J518" s="37"/>
      <c r="K518" s="37"/>
      <c r="L518" s="37"/>
    </row>
    <row r="519" spans="1:12" ht="15.75" customHeight="1" x14ac:dyDescent="0.2">
      <c r="A519" s="37"/>
      <c r="B519" s="37"/>
      <c r="C519" s="37"/>
      <c r="D519" s="37"/>
      <c r="E519" s="37"/>
      <c r="F519" s="37"/>
      <c r="G519" s="37"/>
      <c r="H519" s="37"/>
      <c r="I519" s="37"/>
      <c r="J519" s="37"/>
      <c r="K519" s="37"/>
      <c r="L519" s="37"/>
    </row>
    <row r="520" spans="1:12" ht="15.75" customHeight="1" x14ac:dyDescent="0.2">
      <c r="A520" s="37"/>
      <c r="B520" s="37"/>
      <c r="C520" s="37"/>
      <c r="D520" s="37"/>
      <c r="E520" s="37"/>
      <c r="F520" s="37"/>
      <c r="G520" s="37"/>
      <c r="H520" s="37"/>
      <c r="I520" s="37"/>
      <c r="J520" s="37"/>
      <c r="K520" s="37"/>
      <c r="L520" s="37"/>
    </row>
    <row r="521" spans="1:12" ht="15.75" customHeight="1" x14ac:dyDescent="0.2">
      <c r="A521" s="37"/>
      <c r="B521" s="37"/>
      <c r="C521" s="37"/>
      <c r="D521" s="37"/>
      <c r="E521" s="37"/>
      <c r="F521" s="37"/>
      <c r="G521" s="37"/>
      <c r="H521" s="37"/>
      <c r="I521" s="37"/>
      <c r="J521" s="37"/>
      <c r="K521" s="37"/>
      <c r="L521" s="37"/>
    </row>
    <row r="522" spans="1:12" ht="15.75" customHeight="1" x14ac:dyDescent="0.2">
      <c r="A522" s="37"/>
      <c r="B522" s="37"/>
      <c r="C522" s="37"/>
      <c r="D522" s="37"/>
      <c r="E522" s="37"/>
      <c r="F522" s="37"/>
      <c r="G522" s="37"/>
      <c r="H522" s="37"/>
      <c r="I522" s="37"/>
      <c r="J522" s="37"/>
      <c r="K522" s="37"/>
      <c r="L522" s="37"/>
    </row>
    <row r="523" spans="1:12" ht="15.75" customHeight="1" x14ac:dyDescent="0.2">
      <c r="A523" s="37"/>
      <c r="B523" s="37"/>
      <c r="C523" s="37"/>
      <c r="D523" s="37"/>
      <c r="E523" s="37"/>
      <c r="F523" s="37"/>
      <c r="G523" s="37"/>
      <c r="H523" s="37"/>
      <c r="I523" s="37"/>
      <c r="J523" s="37"/>
      <c r="K523" s="37"/>
      <c r="L523" s="37"/>
    </row>
    <row r="524" spans="1:12" ht="15.75" customHeight="1" x14ac:dyDescent="0.2">
      <c r="A524" s="37"/>
      <c r="B524" s="37"/>
      <c r="C524" s="37"/>
      <c r="D524" s="37"/>
      <c r="E524" s="37"/>
      <c r="F524" s="37"/>
      <c r="G524" s="37"/>
      <c r="H524" s="37"/>
      <c r="I524" s="37"/>
      <c r="J524" s="37"/>
      <c r="K524" s="37"/>
      <c r="L524" s="37"/>
    </row>
    <row r="525" spans="1:12" ht="15.75" customHeight="1" x14ac:dyDescent="0.2">
      <c r="A525" s="37"/>
      <c r="B525" s="37"/>
      <c r="C525" s="37"/>
      <c r="D525" s="37"/>
      <c r="E525" s="37"/>
      <c r="F525" s="37"/>
      <c r="G525" s="37"/>
      <c r="H525" s="37"/>
      <c r="I525" s="37"/>
      <c r="J525" s="37"/>
      <c r="K525" s="37"/>
      <c r="L525" s="37"/>
    </row>
    <row r="526" spans="1:12" ht="15.75" customHeight="1" x14ac:dyDescent="0.2">
      <c r="A526" s="37"/>
      <c r="B526" s="37"/>
      <c r="C526" s="37"/>
      <c r="D526" s="37"/>
      <c r="E526" s="37"/>
      <c r="F526" s="37"/>
      <c r="G526" s="37"/>
      <c r="H526" s="37"/>
      <c r="I526" s="37"/>
      <c r="J526" s="37"/>
      <c r="K526" s="37"/>
      <c r="L526" s="37"/>
    </row>
    <row r="527" spans="1:12" ht="15.75" customHeight="1" x14ac:dyDescent="0.2">
      <c r="A527" s="37"/>
      <c r="B527" s="37"/>
      <c r="C527" s="37"/>
      <c r="D527" s="37"/>
      <c r="E527" s="37"/>
      <c r="F527" s="37"/>
      <c r="G527" s="37"/>
      <c r="H527" s="37"/>
      <c r="I527" s="37"/>
      <c r="J527" s="37"/>
      <c r="K527" s="37"/>
      <c r="L527" s="37"/>
    </row>
    <row r="528" spans="1:12" ht="15.75" customHeight="1" x14ac:dyDescent="0.2">
      <c r="A528" s="37"/>
      <c r="B528" s="37"/>
      <c r="C528" s="37"/>
      <c r="D528" s="37"/>
      <c r="E528" s="37"/>
      <c r="F528" s="37"/>
      <c r="G528" s="37"/>
      <c r="H528" s="37"/>
      <c r="I528" s="37"/>
      <c r="J528" s="37"/>
      <c r="K528" s="37"/>
      <c r="L528" s="37"/>
    </row>
    <row r="529" spans="1:12" ht="15.75" customHeight="1" x14ac:dyDescent="0.2">
      <c r="A529" s="37"/>
      <c r="B529" s="37"/>
      <c r="C529" s="37"/>
      <c r="D529" s="37"/>
      <c r="E529" s="37"/>
      <c r="F529" s="37"/>
      <c r="G529" s="37"/>
      <c r="H529" s="37"/>
      <c r="I529" s="37"/>
      <c r="J529" s="37"/>
      <c r="K529" s="37"/>
      <c r="L529" s="37"/>
    </row>
    <row r="530" spans="1:12" ht="15.75" customHeight="1" x14ac:dyDescent="0.2">
      <c r="A530" s="37"/>
      <c r="B530" s="37"/>
      <c r="C530" s="37"/>
      <c r="D530" s="37"/>
      <c r="E530" s="37"/>
      <c r="F530" s="37"/>
      <c r="G530" s="37"/>
      <c r="H530" s="37"/>
      <c r="I530" s="37"/>
      <c r="J530" s="37"/>
      <c r="K530" s="37"/>
      <c r="L530" s="37"/>
    </row>
    <row r="531" spans="1:12" ht="15.75" customHeight="1" x14ac:dyDescent="0.2">
      <c r="A531" s="37"/>
      <c r="B531" s="37"/>
      <c r="C531" s="37"/>
      <c r="D531" s="37"/>
      <c r="E531" s="37"/>
      <c r="F531" s="37"/>
      <c r="G531" s="37"/>
      <c r="H531" s="37"/>
      <c r="I531" s="37"/>
      <c r="J531" s="37"/>
      <c r="K531" s="37"/>
      <c r="L531" s="37"/>
    </row>
    <row r="532" spans="1:12" ht="15.75" customHeight="1" x14ac:dyDescent="0.2">
      <c r="A532" s="37"/>
      <c r="B532" s="37"/>
      <c r="C532" s="37"/>
      <c r="D532" s="37"/>
      <c r="E532" s="37"/>
      <c r="F532" s="37"/>
      <c r="G532" s="37"/>
      <c r="H532" s="37"/>
      <c r="I532" s="37"/>
      <c r="J532" s="37"/>
      <c r="K532" s="37"/>
      <c r="L532" s="37"/>
    </row>
    <row r="533" spans="1:12" ht="15.75" customHeight="1" x14ac:dyDescent="0.2">
      <c r="A533" s="37"/>
      <c r="B533" s="37"/>
      <c r="C533" s="37"/>
      <c r="D533" s="37"/>
      <c r="E533" s="37"/>
      <c r="F533" s="37"/>
      <c r="G533" s="37"/>
      <c r="H533" s="37"/>
      <c r="I533" s="37"/>
      <c r="J533" s="37"/>
      <c r="K533" s="37"/>
      <c r="L533" s="37"/>
    </row>
    <row r="534" spans="1:12" ht="15.75" customHeight="1" x14ac:dyDescent="0.2">
      <c r="A534" s="37"/>
      <c r="B534" s="37"/>
      <c r="C534" s="37"/>
      <c r="D534" s="37"/>
      <c r="E534" s="37"/>
      <c r="F534" s="37"/>
      <c r="G534" s="37"/>
      <c r="H534" s="37"/>
      <c r="I534" s="37"/>
      <c r="J534" s="37"/>
      <c r="K534" s="37"/>
      <c r="L534" s="37"/>
    </row>
    <row r="535" spans="1:12" ht="15.75" customHeight="1" x14ac:dyDescent="0.2">
      <c r="A535" s="37"/>
      <c r="B535" s="37"/>
      <c r="C535" s="37"/>
      <c r="D535" s="37"/>
      <c r="E535" s="37"/>
      <c r="F535" s="37"/>
      <c r="G535" s="37"/>
      <c r="H535" s="37"/>
      <c r="I535" s="37"/>
      <c r="J535" s="37"/>
      <c r="K535" s="37"/>
      <c r="L535" s="37"/>
    </row>
    <row r="536" spans="1:12" ht="15.75" customHeight="1" x14ac:dyDescent="0.2">
      <c r="A536" s="37"/>
      <c r="B536" s="37"/>
      <c r="C536" s="37"/>
      <c r="D536" s="37"/>
      <c r="E536" s="37"/>
      <c r="F536" s="37"/>
      <c r="G536" s="37"/>
      <c r="H536" s="37"/>
      <c r="I536" s="37"/>
      <c r="J536" s="37"/>
      <c r="K536" s="37"/>
      <c r="L536" s="37"/>
    </row>
    <row r="537" spans="1:12" ht="15.75" customHeight="1" x14ac:dyDescent="0.2">
      <c r="A537" s="37"/>
      <c r="B537" s="37"/>
      <c r="C537" s="37"/>
      <c r="D537" s="37"/>
      <c r="E537" s="37"/>
      <c r="F537" s="37"/>
      <c r="G537" s="37"/>
      <c r="H537" s="37"/>
      <c r="I537" s="37"/>
      <c r="J537" s="37"/>
      <c r="K537" s="37"/>
      <c r="L537" s="37"/>
    </row>
    <row r="538" spans="1:12" ht="15.75" customHeight="1" x14ac:dyDescent="0.2">
      <c r="A538" s="37"/>
      <c r="B538" s="37"/>
      <c r="C538" s="37"/>
      <c r="D538" s="37"/>
      <c r="E538" s="37"/>
      <c r="F538" s="37"/>
      <c r="G538" s="37"/>
      <c r="H538" s="37"/>
      <c r="I538" s="37"/>
      <c r="J538" s="37"/>
      <c r="K538" s="37"/>
      <c r="L538" s="37"/>
    </row>
    <row r="539" spans="1:12" ht="15.75" customHeight="1" x14ac:dyDescent="0.2">
      <c r="A539" s="37"/>
      <c r="B539" s="37"/>
      <c r="C539" s="37"/>
      <c r="D539" s="37"/>
      <c r="E539" s="37"/>
      <c r="F539" s="37"/>
      <c r="G539" s="37"/>
      <c r="H539" s="37"/>
      <c r="I539" s="37"/>
      <c r="J539" s="37"/>
      <c r="K539" s="37"/>
      <c r="L539" s="37"/>
    </row>
    <row r="540" spans="1:12" ht="15.75" customHeight="1" x14ac:dyDescent="0.2">
      <c r="A540" s="37"/>
      <c r="B540" s="37"/>
      <c r="C540" s="37"/>
      <c r="D540" s="37"/>
      <c r="E540" s="37"/>
      <c r="F540" s="37"/>
      <c r="G540" s="37"/>
      <c r="H540" s="37"/>
      <c r="I540" s="37"/>
      <c r="J540" s="37"/>
      <c r="K540" s="37"/>
      <c r="L540" s="37"/>
    </row>
    <row r="541" spans="1:12" ht="15.75" customHeight="1" x14ac:dyDescent="0.2">
      <c r="A541" s="37"/>
      <c r="B541" s="37"/>
      <c r="C541" s="37"/>
      <c r="D541" s="37"/>
      <c r="E541" s="37"/>
      <c r="F541" s="37"/>
      <c r="G541" s="37"/>
      <c r="H541" s="37"/>
      <c r="I541" s="37"/>
      <c r="J541" s="37"/>
      <c r="K541" s="37"/>
      <c r="L541" s="37"/>
    </row>
    <row r="542" spans="1:12" ht="15.75" customHeight="1" x14ac:dyDescent="0.2">
      <c r="A542" s="37"/>
      <c r="B542" s="37"/>
      <c r="C542" s="37"/>
      <c r="D542" s="37"/>
      <c r="E542" s="37"/>
      <c r="F542" s="37"/>
      <c r="G542" s="37"/>
      <c r="H542" s="37"/>
      <c r="I542" s="37"/>
      <c r="J542" s="37"/>
      <c r="K542" s="37"/>
      <c r="L542" s="37"/>
    </row>
    <row r="543" spans="1:12" ht="15.75" customHeight="1" x14ac:dyDescent="0.2">
      <c r="A543" s="37"/>
      <c r="B543" s="37"/>
      <c r="C543" s="37"/>
      <c r="D543" s="37"/>
      <c r="E543" s="37"/>
      <c r="F543" s="37"/>
      <c r="G543" s="37"/>
      <c r="H543" s="37"/>
      <c r="I543" s="37"/>
      <c r="J543" s="37"/>
      <c r="K543" s="37"/>
      <c r="L543" s="37"/>
    </row>
    <row r="544" spans="1:12" ht="15.75" customHeight="1" x14ac:dyDescent="0.2">
      <c r="A544" s="37"/>
      <c r="B544" s="37"/>
      <c r="C544" s="37"/>
      <c r="D544" s="37"/>
      <c r="E544" s="37"/>
      <c r="F544" s="37"/>
      <c r="G544" s="37"/>
      <c r="H544" s="37"/>
      <c r="I544" s="37"/>
      <c r="J544" s="37"/>
      <c r="K544" s="37"/>
      <c r="L544" s="37"/>
    </row>
    <row r="545" spans="1:12" ht="15.75" customHeight="1" x14ac:dyDescent="0.2">
      <c r="A545" s="37"/>
      <c r="B545" s="37"/>
      <c r="C545" s="37"/>
      <c r="D545" s="37"/>
      <c r="E545" s="37"/>
      <c r="F545" s="37"/>
      <c r="G545" s="37"/>
      <c r="H545" s="37"/>
      <c r="I545" s="37"/>
      <c r="J545" s="37"/>
      <c r="K545" s="37"/>
      <c r="L545" s="37"/>
    </row>
    <row r="546" spans="1:12" ht="15.75" customHeight="1" x14ac:dyDescent="0.2">
      <c r="A546" s="37"/>
      <c r="B546" s="37"/>
      <c r="C546" s="37"/>
      <c r="D546" s="37"/>
      <c r="E546" s="37"/>
      <c r="F546" s="37"/>
      <c r="G546" s="37"/>
      <c r="H546" s="37"/>
      <c r="I546" s="37"/>
      <c r="J546" s="37"/>
      <c r="K546" s="37"/>
      <c r="L546" s="37"/>
    </row>
    <row r="547" spans="1:12" ht="15.75" customHeight="1" x14ac:dyDescent="0.2">
      <c r="A547" s="37"/>
      <c r="B547" s="37"/>
      <c r="C547" s="37"/>
      <c r="D547" s="37"/>
      <c r="E547" s="37"/>
      <c r="F547" s="37"/>
      <c r="G547" s="37"/>
      <c r="H547" s="37"/>
      <c r="I547" s="37"/>
      <c r="J547" s="37"/>
      <c r="K547" s="37"/>
      <c r="L547" s="37"/>
    </row>
    <row r="548" spans="1:12" ht="15.75" customHeight="1" x14ac:dyDescent="0.2">
      <c r="A548" s="37"/>
      <c r="B548" s="37"/>
      <c r="C548" s="37"/>
      <c r="D548" s="37"/>
      <c r="E548" s="37"/>
      <c r="F548" s="37"/>
      <c r="G548" s="37"/>
      <c r="H548" s="37"/>
      <c r="I548" s="37"/>
      <c r="J548" s="37"/>
      <c r="K548" s="37"/>
      <c r="L548" s="37"/>
    </row>
    <row r="549" spans="1:12" ht="15.75" customHeight="1" x14ac:dyDescent="0.2">
      <c r="A549" s="37"/>
      <c r="B549" s="37"/>
      <c r="C549" s="37"/>
      <c r="D549" s="37"/>
      <c r="E549" s="37"/>
      <c r="F549" s="37"/>
      <c r="G549" s="37"/>
      <c r="H549" s="37"/>
      <c r="I549" s="37"/>
      <c r="J549" s="37"/>
      <c r="K549" s="37"/>
      <c r="L549" s="37"/>
    </row>
    <row r="550" spans="1:12" ht="15.75" customHeight="1" x14ac:dyDescent="0.2">
      <c r="A550" s="37"/>
      <c r="B550" s="37"/>
      <c r="C550" s="37"/>
      <c r="D550" s="37"/>
      <c r="E550" s="37"/>
      <c r="F550" s="37"/>
      <c r="G550" s="37"/>
      <c r="H550" s="37"/>
      <c r="I550" s="37"/>
      <c r="J550" s="37"/>
      <c r="K550" s="37"/>
      <c r="L550" s="37"/>
    </row>
    <row r="551" spans="1:12" ht="15.75" customHeight="1" x14ac:dyDescent="0.2">
      <c r="A551" s="37"/>
      <c r="B551" s="37"/>
      <c r="C551" s="37"/>
      <c r="D551" s="37"/>
      <c r="E551" s="37"/>
      <c r="F551" s="37"/>
      <c r="G551" s="37"/>
      <c r="H551" s="37"/>
      <c r="I551" s="37"/>
      <c r="J551" s="37"/>
      <c r="K551" s="37"/>
      <c r="L551" s="37"/>
    </row>
    <row r="552" spans="1:12" ht="15.75" customHeight="1" x14ac:dyDescent="0.2">
      <c r="A552" s="37"/>
      <c r="B552" s="37"/>
      <c r="C552" s="37"/>
      <c r="D552" s="37"/>
      <c r="E552" s="37"/>
      <c r="F552" s="37"/>
      <c r="G552" s="37"/>
      <c r="H552" s="37"/>
      <c r="I552" s="37"/>
      <c r="J552" s="37"/>
      <c r="K552" s="37"/>
      <c r="L552" s="37"/>
    </row>
    <row r="553" spans="1:12" ht="15.75" customHeight="1" x14ac:dyDescent="0.2">
      <c r="A553" s="37"/>
      <c r="B553" s="37"/>
      <c r="C553" s="37"/>
      <c r="D553" s="37"/>
      <c r="E553" s="37"/>
      <c r="F553" s="37"/>
      <c r="G553" s="37"/>
      <c r="H553" s="37"/>
      <c r="I553" s="37"/>
      <c r="J553" s="37"/>
      <c r="K553" s="37"/>
      <c r="L553" s="37"/>
    </row>
    <row r="554" spans="1:12" ht="15.75" customHeight="1" x14ac:dyDescent="0.2">
      <c r="A554" s="37"/>
      <c r="B554" s="37"/>
      <c r="C554" s="37"/>
      <c r="D554" s="37"/>
      <c r="E554" s="37"/>
      <c r="F554" s="37"/>
      <c r="G554" s="37"/>
      <c r="H554" s="37"/>
      <c r="I554" s="37"/>
      <c r="J554" s="37"/>
      <c r="K554" s="37"/>
      <c r="L554" s="37"/>
    </row>
    <row r="555" spans="1:12" ht="15.75" customHeight="1" x14ac:dyDescent="0.2">
      <c r="A555" s="37"/>
      <c r="B555" s="37"/>
      <c r="C555" s="37"/>
      <c r="D555" s="37"/>
      <c r="E555" s="37"/>
      <c r="F555" s="37"/>
      <c r="G555" s="37"/>
      <c r="H555" s="37"/>
      <c r="I555" s="37"/>
      <c r="J555" s="37"/>
      <c r="K555" s="37"/>
      <c r="L555" s="37"/>
    </row>
    <row r="556" spans="1:12" ht="15.75" customHeight="1" x14ac:dyDescent="0.2">
      <c r="A556" s="37"/>
      <c r="B556" s="37"/>
      <c r="C556" s="37"/>
      <c r="D556" s="37"/>
      <c r="E556" s="37"/>
      <c r="F556" s="37"/>
      <c r="G556" s="37"/>
      <c r="H556" s="37"/>
      <c r="I556" s="37"/>
      <c r="J556" s="37"/>
      <c r="K556" s="37"/>
      <c r="L556" s="37"/>
    </row>
    <row r="557" spans="1:12" ht="15.75" customHeight="1" x14ac:dyDescent="0.2">
      <c r="A557" s="37"/>
      <c r="B557" s="37"/>
      <c r="C557" s="37"/>
      <c r="D557" s="37"/>
      <c r="E557" s="37"/>
      <c r="F557" s="37"/>
      <c r="G557" s="37"/>
      <c r="H557" s="37"/>
      <c r="I557" s="37"/>
      <c r="J557" s="37"/>
      <c r="K557" s="37"/>
      <c r="L557" s="37"/>
    </row>
    <row r="558" spans="1:12" ht="15.75" customHeight="1" x14ac:dyDescent="0.2">
      <c r="A558" s="37"/>
      <c r="B558" s="37"/>
      <c r="C558" s="37"/>
      <c r="D558" s="37"/>
      <c r="E558" s="37"/>
      <c r="F558" s="37"/>
      <c r="G558" s="37"/>
      <c r="H558" s="37"/>
      <c r="I558" s="37"/>
      <c r="J558" s="37"/>
      <c r="K558" s="37"/>
      <c r="L558" s="37"/>
    </row>
    <row r="559" spans="1:12" ht="15.75" customHeight="1" x14ac:dyDescent="0.2">
      <c r="A559" s="37"/>
      <c r="B559" s="37"/>
      <c r="C559" s="37"/>
      <c r="D559" s="37"/>
      <c r="E559" s="37"/>
      <c r="F559" s="37"/>
      <c r="G559" s="37"/>
      <c r="H559" s="37"/>
      <c r="I559" s="37"/>
      <c r="J559" s="37"/>
      <c r="K559" s="37"/>
      <c r="L559" s="37"/>
    </row>
    <row r="560" spans="1:12" ht="15.75" customHeight="1" x14ac:dyDescent="0.2">
      <c r="A560" s="37"/>
      <c r="B560" s="37"/>
      <c r="C560" s="37"/>
      <c r="D560" s="37"/>
      <c r="E560" s="37"/>
      <c r="F560" s="37"/>
      <c r="G560" s="37"/>
      <c r="H560" s="37"/>
      <c r="I560" s="37"/>
      <c r="J560" s="37"/>
      <c r="K560" s="37"/>
      <c r="L560" s="37"/>
    </row>
    <row r="561" spans="1:12" ht="15.75" customHeight="1" x14ac:dyDescent="0.2">
      <c r="A561" s="37"/>
      <c r="B561" s="37"/>
      <c r="C561" s="37"/>
      <c r="D561" s="37"/>
      <c r="E561" s="37"/>
      <c r="F561" s="37"/>
      <c r="G561" s="37"/>
      <c r="H561" s="37"/>
      <c r="I561" s="37"/>
      <c r="J561" s="37"/>
      <c r="K561" s="37"/>
      <c r="L561" s="37"/>
    </row>
    <row r="562" spans="1:12" ht="15.75" customHeight="1" x14ac:dyDescent="0.2">
      <c r="A562" s="37"/>
      <c r="B562" s="37"/>
      <c r="C562" s="37"/>
      <c r="D562" s="37"/>
      <c r="E562" s="37"/>
      <c r="F562" s="37"/>
      <c r="G562" s="37"/>
      <c r="H562" s="37"/>
      <c r="I562" s="37"/>
      <c r="J562" s="37"/>
      <c r="K562" s="37"/>
      <c r="L562" s="37"/>
    </row>
    <row r="563" spans="1:12" ht="15.75" customHeight="1" x14ac:dyDescent="0.2">
      <c r="A563" s="37"/>
      <c r="B563" s="37"/>
      <c r="C563" s="37"/>
      <c r="D563" s="37"/>
      <c r="E563" s="37"/>
      <c r="F563" s="37"/>
      <c r="G563" s="37"/>
      <c r="H563" s="37"/>
      <c r="I563" s="37"/>
      <c r="J563" s="37"/>
      <c r="K563" s="37"/>
      <c r="L563" s="37"/>
    </row>
    <row r="564" spans="1:12" ht="15.75" customHeight="1" x14ac:dyDescent="0.2">
      <c r="A564" s="37"/>
      <c r="B564" s="37"/>
      <c r="C564" s="37"/>
      <c r="D564" s="37"/>
      <c r="E564" s="37"/>
      <c r="F564" s="37"/>
      <c r="G564" s="37"/>
      <c r="H564" s="37"/>
      <c r="I564" s="37"/>
      <c r="J564" s="37"/>
      <c r="K564" s="37"/>
      <c r="L564" s="37"/>
    </row>
    <row r="565" spans="1:12" ht="15.75" customHeight="1" x14ac:dyDescent="0.2">
      <c r="A565" s="37"/>
      <c r="B565" s="37"/>
      <c r="C565" s="37"/>
      <c r="D565" s="37"/>
      <c r="E565" s="37"/>
      <c r="F565" s="37"/>
      <c r="G565" s="37"/>
      <c r="H565" s="37"/>
      <c r="I565" s="37"/>
      <c r="J565" s="37"/>
      <c r="K565" s="37"/>
      <c r="L565" s="37"/>
    </row>
    <row r="566" spans="1:12" ht="15.75" customHeight="1" x14ac:dyDescent="0.2">
      <c r="A566" s="37"/>
      <c r="B566" s="37"/>
      <c r="C566" s="37"/>
      <c r="D566" s="37"/>
      <c r="E566" s="37"/>
      <c r="F566" s="37"/>
      <c r="G566" s="37"/>
      <c r="H566" s="37"/>
      <c r="I566" s="37"/>
      <c r="J566" s="37"/>
      <c r="K566" s="37"/>
      <c r="L566" s="37"/>
    </row>
    <row r="567" spans="1:12" ht="15.75" customHeight="1" x14ac:dyDescent="0.2">
      <c r="A567" s="37"/>
      <c r="B567" s="37"/>
      <c r="C567" s="37"/>
      <c r="D567" s="37"/>
      <c r="E567" s="37"/>
      <c r="F567" s="37"/>
      <c r="G567" s="37"/>
      <c r="H567" s="37"/>
      <c r="I567" s="37"/>
      <c r="J567" s="37"/>
      <c r="K567" s="37"/>
      <c r="L567" s="37"/>
    </row>
    <row r="568" spans="1:12" ht="15.75" customHeight="1" x14ac:dyDescent="0.2">
      <c r="A568" s="37"/>
      <c r="B568" s="37"/>
      <c r="C568" s="37"/>
      <c r="D568" s="37"/>
      <c r="E568" s="37"/>
      <c r="F568" s="37"/>
      <c r="G568" s="37"/>
      <c r="H568" s="37"/>
      <c r="I568" s="37"/>
      <c r="J568" s="37"/>
      <c r="K568" s="37"/>
      <c r="L568" s="37"/>
    </row>
    <row r="569" spans="1:12" ht="15.75" customHeight="1" x14ac:dyDescent="0.2">
      <c r="A569" s="37"/>
      <c r="B569" s="37"/>
      <c r="C569" s="37"/>
      <c r="D569" s="37"/>
      <c r="E569" s="37"/>
      <c r="F569" s="37"/>
      <c r="G569" s="37"/>
      <c r="H569" s="37"/>
      <c r="I569" s="37"/>
      <c r="J569" s="37"/>
      <c r="K569" s="37"/>
      <c r="L569" s="37"/>
    </row>
    <row r="570" spans="1:12" ht="15.75" customHeight="1" x14ac:dyDescent="0.2">
      <c r="A570" s="37"/>
      <c r="B570" s="37"/>
      <c r="C570" s="37"/>
      <c r="D570" s="37"/>
      <c r="E570" s="37"/>
      <c r="F570" s="37"/>
      <c r="G570" s="37"/>
      <c r="H570" s="37"/>
      <c r="I570" s="37"/>
      <c r="J570" s="37"/>
      <c r="K570" s="37"/>
      <c r="L570" s="37"/>
    </row>
    <row r="571" spans="1:12" ht="15.75" customHeight="1" x14ac:dyDescent="0.2">
      <c r="A571" s="37"/>
      <c r="B571" s="37"/>
      <c r="C571" s="37"/>
      <c r="D571" s="37"/>
      <c r="E571" s="37"/>
      <c r="F571" s="37"/>
      <c r="G571" s="37"/>
      <c r="H571" s="37"/>
      <c r="I571" s="37"/>
      <c r="J571" s="37"/>
      <c r="K571" s="37"/>
      <c r="L571" s="37"/>
    </row>
    <row r="572" spans="1:12" ht="15.75" customHeight="1" x14ac:dyDescent="0.2">
      <c r="A572" s="37"/>
      <c r="B572" s="37"/>
      <c r="C572" s="37"/>
      <c r="D572" s="37"/>
      <c r="E572" s="37"/>
      <c r="F572" s="37"/>
      <c r="G572" s="37"/>
      <c r="H572" s="37"/>
      <c r="I572" s="37"/>
      <c r="J572" s="37"/>
      <c r="K572" s="37"/>
      <c r="L572" s="37"/>
    </row>
    <row r="573" spans="1:12" ht="15.75" customHeight="1" x14ac:dyDescent="0.2">
      <c r="A573" s="37"/>
      <c r="B573" s="37"/>
      <c r="C573" s="37"/>
      <c r="D573" s="37"/>
      <c r="E573" s="37"/>
      <c r="F573" s="37"/>
      <c r="G573" s="37"/>
      <c r="H573" s="37"/>
      <c r="I573" s="37"/>
      <c r="J573" s="37"/>
      <c r="K573" s="37"/>
      <c r="L573" s="37"/>
    </row>
    <row r="574" spans="1:12" ht="15.75" customHeight="1" x14ac:dyDescent="0.2">
      <c r="A574" s="37"/>
      <c r="B574" s="37"/>
      <c r="C574" s="37"/>
      <c r="D574" s="37"/>
      <c r="E574" s="37"/>
      <c r="F574" s="37"/>
      <c r="G574" s="37"/>
      <c r="H574" s="37"/>
      <c r="I574" s="37"/>
      <c r="J574" s="37"/>
      <c r="K574" s="37"/>
      <c r="L574" s="37"/>
    </row>
    <row r="575" spans="1:12" ht="15.75" customHeight="1" x14ac:dyDescent="0.2">
      <c r="A575" s="37"/>
      <c r="B575" s="37"/>
      <c r="C575" s="37"/>
      <c r="D575" s="37"/>
      <c r="E575" s="37"/>
      <c r="F575" s="37"/>
      <c r="G575" s="37"/>
      <c r="H575" s="37"/>
      <c r="I575" s="37"/>
      <c r="J575" s="37"/>
      <c r="K575" s="37"/>
      <c r="L575" s="37"/>
    </row>
    <row r="576" spans="1:12" ht="15.75" customHeight="1" x14ac:dyDescent="0.2">
      <c r="A576" s="37"/>
      <c r="B576" s="37"/>
      <c r="C576" s="37"/>
      <c r="D576" s="37"/>
      <c r="E576" s="37"/>
      <c r="F576" s="37"/>
      <c r="G576" s="37"/>
      <c r="H576" s="37"/>
      <c r="I576" s="37"/>
      <c r="J576" s="37"/>
      <c r="K576" s="37"/>
      <c r="L576" s="37"/>
    </row>
    <row r="577" spans="1:12" ht="15.75" customHeight="1" x14ac:dyDescent="0.2">
      <c r="A577" s="37"/>
      <c r="B577" s="37"/>
      <c r="C577" s="37"/>
      <c r="D577" s="37"/>
      <c r="E577" s="37"/>
      <c r="F577" s="37"/>
      <c r="G577" s="37"/>
      <c r="H577" s="37"/>
      <c r="I577" s="37"/>
      <c r="J577" s="37"/>
      <c r="K577" s="37"/>
      <c r="L577" s="37"/>
    </row>
    <row r="578" spans="1:12" ht="15.75" customHeight="1" x14ac:dyDescent="0.2">
      <c r="A578" s="37"/>
      <c r="B578" s="37"/>
      <c r="C578" s="37"/>
      <c r="D578" s="37"/>
      <c r="E578" s="37"/>
      <c r="F578" s="37"/>
      <c r="G578" s="37"/>
      <c r="H578" s="37"/>
      <c r="I578" s="37"/>
      <c r="J578" s="37"/>
      <c r="K578" s="37"/>
      <c r="L578" s="37"/>
    </row>
    <row r="579" spans="1:12" ht="15.75" customHeight="1" x14ac:dyDescent="0.2">
      <c r="A579" s="37"/>
      <c r="B579" s="37"/>
      <c r="C579" s="37"/>
      <c r="D579" s="37"/>
      <c r="E579" s="37"/>
      <c r="F579" s="37"/>
      <c r="G579" s="37"/>
      <c r="H579" s="37"/>
      <c r="I579" s="37"/>
      <c r="J579" s="37"/>
      <c r="K579" s="37"/>
      <c r="L579" s="37"/>
    </row>
    <row r="580" spans="1:12" ht="15.75" customHeight="1" x14ac:dyDescent="0.2">
      <c r="A580" s="37"/>
      <c r="B580" s="37"/>
      <c r="C580" s="37"/>
      <c r="D580" s="37"/>
      <c r="E580" s="37"/>
      <c r="F580" s="37"/>
      <c r="G580" s="37"/>
      <c r="H580" s="37"/>
      <c r="I580" s="37"/>
      <c r="J580" s="37"/>
      <c r="K580" s="37"/>
      <c r="L580" s="37"/>
    </row>
    <row r="581" spans="1:12" ht="15.75" customHeight="1" x14ac:dyDescent="0.2">
      <c r="A581" s="37"/>
      <c r="B581" s="37"/>
      <c r="C581" s="37"/>
      <c r="D581" s="37"/>
      <c r="E581" s="37"/>
      <c r="F581" s="37"/>
      <c r="G581" s="37"/>
      <c r="H581" s="37"/>
      <c r="I581" s="37"/>
      <c r="J581" s="37"/>
      <c r="K581" s="37"/>
      <c r="L581" s="37"/>
    </row>
    <row r="582" spans="1:12" ht="15.75" customHeight="1" x14ac:dyDescent="0.2">
      <c r="A582" s="37"/>
      <c r="B582" s="37"/>
      <c r="C582" s="37"/>
      <c r="D582" s="37"/>
      <c r="E582" s="37"/>
      <c r="F582" s="37"/>
      <c r="G582" s="37"/>
      <c r="H582" s="37"/>
      <c r="I582" s="37"/>
      <c r="J582" s="37"/>
      <c r="K582" s="37"/>
      <c r="L582" s="37"/>
    </row>
    <row r="583" spans="1:12" ht="15.75" customHeight="1" x14ac:dyDescent="0.2">
      <c r="A583" s="37"/>
      <c r="B583" s="37"/>
      <c r="C583" s="37"/>
      <c r="D583" s="37"/>
      <c r="E583" s="37"/>
      <c r="F583" s="37"/>
      <c r="G583" s="37"/>
      <c r="H583" s="37"/>
      <c r="I583" s="37"/>
      <c r="J583" s="37"/>
      <c r="K583" s="37"/>
      <c r="L583" s="37"/>
    </row>
    <row r="584" spans="1:12" ht="15.75" customHeight="1" x14ac:dyDescent="0.2">
      <c r="A584" s="37"/>
      <c r="B584" s="37"/>
      <c r="C584" s="37"/>
      <c r="D584" s="37"/>
      <c r="E584" s="37"/>
      <c r="F584" s="37"/>
      <c r="G584" s="37"/>
      <c r="H584" s="37"/>
      <c r="I584" s="37"/>
      <c r="J584" s="37"/>
      <c r="K584" s="37"/>
      <c r="L584" s="37"/>
    </row>
    <row r="585" spans="1:12" ht="15.75" customHeight="1" x14ac:dyDescent="0.2">
      <c r="A585" s="37"/>
      <c r="B585" s="37"/>
      <c r="C585" s="37"/>
      <c r="D585" s="37"/>
      <c r="E585" s="37"/>
      <c r="F585" s="37"/>
      <c r="G585" s="37"/>
      <c r="H585" s="37"/>
      <c r="I585" s="37"/>
      <c r="J585" s="37"/>
      <c r="K585" s="37"/>
      <c r="L585" s="37"/>
    </row>
    <row r="586" spans="1:12" ht="15.75" customHeight="1" x14ac:dyDescent="0.2">
      <c r="A586" s="37"/>
      <c r="B586" s="37"/>
      <c r="C586" s="37"/>
      <c r="D586" s="37"/>
      <c r="E586" s="37"/>
      <c r="F586" s="37"/>
      <c r="G586" s="37"/>
      <c r="H586" s="37"/>
      <c r="I586" s="37"/>
      <c r="J586" s="37"/>
      <c r="K586" s="37"/>
      <c r="L586" s="37"/>
    </row>
    <row r="587" spans="1:12" ht="15.75" customHeight="1" x14ac:dyDescent="0.2">
      <c r="A587" s="37"/>
      <c r="B587" s="37"/>
      <c r="C587" s="37"/>
      <c r="D587" s="37"/>
      <c r="E587" s="37"/>
      <c r="F587" s="37"/>
      <c r="G587" s="37"/>
      <c r="H587" s="37"/>
      <c r="I587" s="37"/>
      <c r="J587" s="37"/>
      <c r="K587" s="37"/>
      <c r="L587" s="37"/>
    </row>
    <row r="588" spans="1:12" ht="15.75" customHeight="1" x14ac:dyDescent="0.2">
      <c r="A588" s="37"/>
      <c r="B588" s="37"/>
      <c r="C588" s="37"/>
      <c r="D588" s="37"/>
      <c r="E588" s="37"/>
      <c r="F588" s="37"/>
      <c r="G588" s="37"/>
      <c r="H588" s="37"/>
      <c r="I588" s="37"/>
      <c r="J588" s="37"/>
      <c r="K588" s="37"/>
      <c r="L588" s="37"/>
    </row>
    <row r="589" spans="1:12" ht="15.75" customHeight="1" x14ac:dyDescent="0.2">
      <c r="A589" s="37"/>
      <c r="B589" s="37"/>
      <c r="C589" s="37"/>
      <c r="D589" s="37"/>
      <c r="E589" s="37"/>
      <c r="F589" s="37"/>
      <c r="G589" s="37"/>
      <c r="H589" s="37"/>
      <c r="I589" s="37"/>
      <c r="J589" s="37"/>
      <c r="K589" s="37"/>
      <c r="L589" s="37"/>
    </row>
    <row r="590" spans="1:12" ht="15.75" customHeight="1" x14ac:dyDescent="0.2">
      <c r="A590" s="37"/>
      <c r="B590" s="37"/>
      <c r="C590" s="37"/>
      <c r="D590" s="37"/>
      <c r="E590" s="37"/>
      <c r="F590" s="37"/>
      <c r="G590" s="37"/>
      <c r="H590" s="37"/>
      <c r="I590" s="37"/>
      <c r="J590" s="37"/>
      <c r="K590" s="37"/>
      <c r="L590" s="37"/>
    </row>
    <row r="591" spans="1:12" ht="15.75" customHeight="1" x14ac:dyDescent="0.2">
      <c r="A591" s="37"/>
      <c r="B591" s="37"/>
      <c r="C591" s="37"/>
      <c r="D591" s="37"/>
      <c r="E591" s="37"/>
      <c r="F591" s="37"/>
      <c r="G591" s="37"/>
      <c r="H591" s="37"/>
      <c r="I591" s="37"/>
      <c r="J591" s="37"/>
      <c r="K591" s="37"/>
      <c r="L591" s="37"/>
    </row>
    <row r="592" spans="1:12" ht="15.75" customHeight="1" x14ac:dyDescent="0.2">
      <c r="A592" s="37"/>
      <c r="B592" s="37"/>
      <c r="C592" s="37"/>
      <c r="D592" s="37"/>
      <c r="E592" s="37"/>
      <c r="F592" s="37"/>
      <c r="G592" s="37"/>
      <c r="H592" s="37"/>
      <c r="I592" s="37"/>
      <c r="J592" s="37"/>
      <c r="K592" s="37"/>
      <c r="L592" s="37"/>
    </row>
    <row r="593" spans="1:12" ht="15.75" customHeight="1" x14ac:dyDescent="0.2">
      <c r="A593" s="37"/>
      <c r="B593" s="37"/>
      <c r="C593" s="37"/>
      <c r="D593" s="37"/>
      <c r="E593" s="37"/>
      <c r="F593" s="37"/>
      <c r="G593" s="37"/>
      <c r="H593" s="37"/>
      <c r="I593" s="37"/>
      <c r="J593" s="37"/>
      <c r="K593" s="37"/>
      <c r="L593" s="37"/>
    </row>
    <row r="594" spans="1:12" ht="15.75" customHeight="1" x14ac:dyDescent="0.2">
      <c r="A594" s="37"/>
      <c r="B594" s="37"/>
      <c r="C594" s="37"/>
      <c r="D594" s="37"/>
      <c r="E594" s="37"/>
      <c r="F594" s="37"/>
      <c r="G594" s="37"/>
      <c r="H594" s="37"/>
      <c r="I594" s="37"/>
      <c r="J594" s="37"/>
      <c r="K594" s="37"/>
      <c r="L594" s="37"/>
    </row>
    <row r="595" spans="1:12" ht="15.75" customHeight="1" x14ac:dyDescent="0.2">
      <c r="A595" s="37"/>
      <c r="B595" s="37"/>
      <c r="C595" s="37"/>
      <c r="D595" s="37"/>
      <c r="E595" s="37"/>
      <c r="F595" s="37"/>
      <c r="G595" s="37"/>
      <c r="H595" s="37"/>
      <c r="I595" s="37"/>
      <c r="J595" s="37"/>
      <c r="K595" s="37"/>
      <c r="L595" s="37"/>
    </row>
    <row r="596" spans="1:12" ht="15.75" customHeight="1" x14ac:dyDescent="0.2">
      <c r="A596" s="37"/>
      <c r="B596" s="37"/>
      <c r="C596" s="37"/>
      <c r="D596" s="37"/>
      <c r="E596" s="37"/>
      <c r="F596" s="37"/>
      <c r="G596" s="37"/>
      <c r="H596" s="37"/>
      <c r="I596" s="37"/>
      <c r="J596" s="37"/>
      <c r="K596" s="37"/>
      <c r="L596" s="37"/>
    </row>
    <row r="597" spans="1:12" ht="15.75" customHeight="1" x14ac:dyDescent="0.2">
      <c r="A597" s="37"/>
      <c r="B597" s="37"/>
      <c r="C597" s="37"/>
      <c r="D597" s="37"/>
      <c r="E597" s="37"/>
      <c r="F597" s="37"/>
      <c r="G597" s="37"/>
      <c r="H597" s="37"/>
      <c r="I597" s="37"/>
      <c r="J597" s="37"/>
      <c r="K597" s="37"/>
      <c r="L597" s="37"/>
    </row>
    <row r="598" spans="1:12" ht="15.75" customHeight="1" x14ac:dyDescent="0.2">
      <c r="A598" s="37"/>
      <c r="B598" s="37"/>
      <c r="C598" s="37"/>
      <c r="D598" s="37"/>
      <c r="E598" s="37"/>
      <c r="F598" s="37"/>
      <c r="G598" s="37"/>
      <c r="H598" s="37"/>
      <c r="I598" s="37"/>
      <c r="J598" s="37"/>
      <c r="K598" s="37"/>
      <c r="L598" s="37"/>
    </row>
    <row r="599" spans="1:12" ht="15.75" customHeight="1" x14ac:dyDescent="0.2">
      <c r="A599" s="37"/>
      <c r="B599" s="37"/>
      <c r="C599" s="37"/>
      <c r="D599" s="37"/>
      <c r="E599" s="37"/>
      <c r="F599" s="37"/>
      <c r="G599" s="37"/>
      <c r="H599" s="37"/>
      <c r="I599" s="37"/>
      <c r="J599" s="37"/>
      <c r="K599" s="37"/>
      <c r="L599" s="37"/>
    </row>
    <row r="600" spans="1:12" ht="15.75" customHeight="1" x14ac:dyDescent="0.2">
      <c r="A600" s="37"/>
      <c r="B600" s="37"/>
      <c r="C600" s="37"/>
      <c r="D600" s="37"/>
      <c r="E600" s="37"/>
      <c r="F600" s="37"/>
      <c r="G600" s="37"/>
      <c r="H600" s="37"/>
      <c r="I600" s="37"/>
      <c r="J600" s="37"/>
      <c r="K600" s="37"/>
      <c r="L600" s="37"/>
    </row>
    <row r="601" spans="1:12" ht="15.75" customHeight="1" x14ac:dyDescent="0.2">
      <c r="A601" s="37"/>
      <c r="B601" s="37"/>
      <c r="C601" s="37"/>
      <c r="D601" s="37"/>
      <c r="E601" s="37"/>
      <c r="F601" s="37"/>
      <c r="G601" s="37"/>
      <c r="H601" s="37"/>
      <c r="I601" s="37"/>
      <c r="J601" s="37"/>
      <c r="K601" s="37"/>
      <c r="L601" s="37"/>
    </row>
    <row r="602" spans="1:12" ht="15.75" customHeight="1" x14ac:dyDescent="0.2">
      <c r="A602" s="37"/>
      <c r="B602" s="37"/>
      <c r="C602" s="37"/>
      <c r="D602" s="37"/>
      <c r="E602" s="37"/>
      <c r="F602" s="37"/>
      <c r="G602" s="37"/>
      <c r="H602" s="37"/>
      <c r="I602" s="37"/>
      <c r="J602" s="37"/>
      <c r="K602" s="37"/>
      <c r="L602" s="37"/>
    </row>
    <row r="603" spans="1:12" ht="15.75" customHeight="1" x14ac:dyDescent="0.2">
      <c r="A603" s="37"/>
      <c r="B603" s="37"/>
      <c r="C603" s="37"/>
      <c r="D603" s="37"/>
      <c r="E603" s="37"/>
      <c r="F603" s="37"/>
      <c r="G603" s="37"/>
      <c r="H603" s="37"/>
      <c r="I603" s="37"/>
      <c r="J603" s="37"/>
      <c r="K603" s="37"/>
      <c r="L603" s="37"/>
    </row>
    <row r="604" spans="1:12" ht="15.75" customHeight="1" x14ac:dyDescent="0.2">
      <c r="A604" s="37"/>
      <c r="B604" s="37"/>
      <c r="C604" s="37"/>
      <c r="D604" s="37"/>
      <c r="E604" s="37"/>
      <c r="F604" s="37"/>
      <c r="G604" s="37"/>
      <c r="H604" s="37"/>
      <c r="I604" s="37"/>
      <c r="J604" s="37"/>
      <c r="K604" s="37"/>
      <c r="L604" s="37"/>
    </row>
    <row r="605" spans="1:12" ht="15.75" customHeight="1" x14ac:dyDescent="0.2">
      <c r="A605" s="37"/>
      <c r="B605" s="37"/>
      <c r="C605" s="37"/>
      <c r="D605" s="37"/>
      <c r="E605" s="37"/>
      <c r="F605" s="37"/>
      <c r="G605" s="37"/>
      <c r="H605" s="37"/>
      <c r="I605" s="37"/>
      <c r="J605" s="37"/>
      <c r="K605" s="37"/>
      <c r="L605" s="37"/>
    </row>
    <row r="606" spans="1:12" ht="15.75" customHeight="1" x14ac:dyDescent="0.2">
      <c r="A606" s="37"/>
      <c r="B606" s="37"/>
      <c r="C606" s="37"/>
      <c r="D606" s="37"/>
      <c r="E606" s="37"/>
      <c r="F606" s="37"/>
      <c r="G606" s="37"/>
      <c r="H606" s="37"/>
      <c r="I606" s="37"/>
      <c r="J606" s="37"/>
      <c r="K606" s="37"/>
      <c r="L606" s="37"/>
    </row>
    <row r="607" spans="1:12" ht="15.75" customHeight="1" x14ac:dyDescent="0.2">
      <c r="A607" s="37"/>
      <c r="B607" s="37"/>
      <c r="C607" s="37"/>
      <c r="D607" s="37"/>
      <c r="E607" s="37"/>
      <c r="F607" s="37"/>
      <c r="G607" s="37"/>
      <c r="H607" s="37"/>
      <c r="I607" s="37"/>
      <c r="J607" s="37"/>
      <c r="K607" s="37"/>
      <c r="L607" s="37"/>
    </row>
    <row r="608" spans="1:12" ht="15.75" customHeight="1" x14ac:dyDescent="0.2">
      <c r="A608" s="37"/>
      <c r="B608" s="37"/>
      <c r="C608" s="37"/>
      <c r="D608" s="37"/>
      <c r="E608" s="37"/>
      <c r="F608" s="37"/>
      <c r="G608" s="37"/>
      <c r="H608" s="37"/>
      <c r="I608" s="37"/>
      <c r="J608" s="37"/>
      <c r="K608" s="37"/>
      <c r="L608" s="37"/>
    </row>
    <row r="609" spans="1:12" ht="15.75" customHeight="1" x14ac:dyDescent="0.2">
      <c r="A609" s="37"/>
      <c r="B609" s="37"/>
      <c r="C609" s="37"/>
      <c r="D609" s="37"/>
      <c r="E609" s="37"/>
      <c r="F609" s="37"/>
      <c r="G609" s="37"/>
      <c r="H609" s="37"/>
      <c r="I609" s="37"/>
      <c r="J609" s="37"/>
      <c r="K609" s="37"/>
      <c r="L609" s="37"/>
    </row>
    <row r="610" spans="1:12" ht="15.75" customHeight="1" x14ac:dyDescent="0.2">
      <c r="A610" s="37"/>
      <c r="B610" s="37"/>
      <c r="C610" s="37"/>
      <c r="D610" s="37"/>
      <c r="E610" s="37"/>
      <c r="F610" s="37"/>
      <c r="G610" s="37"/>
      <c r="H610" s="37"/>
      <c r="I610" s="37"/>
      <c r="J610" s="37"/>
      <c r="K610" s="37"/>
      <c r="L610" s="37"/>
    </row>
    <row r="611" spans="1:12" ht="15.75" customHeight="1" x14ac:dyDescent="0.2">
      <c r="A611" s="37"/>
      <c r="B611" s="37"/>
      <c r="C611" s="37"/>
      <c r="D611" s="37"/>
      <c r="E611" s="37"/>
      <c r="F611" s="37"/>
      <c r="G611" s="37"/>
      <c r="H611" s="37"/>
      <c r="I611" s="37"/>
      <c r="J611" s="37"/>
      <c r="K611" s="37"/>
      <c r="L611" s="37"/>
    </row>
    <row r="612" spans="1:12" ht="15.75" customHeight="1" x14ac:dyDescent="0.2">
      <c r="A612" s="37"/>
      <c r="B612" s="37"/>
      <c r="C612" s="37"/>
      <c r="D612" s="37"/>
      <c r="E612" s="37"/>
      <c r="F612" s="37"/>
      <c r="G612" s="37"/>
      <c r="H612" s="37"/>
      <c r="I612" s="37"/>
      <c r="J612" s="37"/>
      <c r="K612" s="37"/>
      <c r="L612" s="37"/>
    </row>
    <row r="613" spans="1:12" ht="15.75" customHeight="1" x14ac:dyDescent="0.2">
      <c r="A613" s="37"/>
      <c r="B613" s="37"/>
      <c r="C613" s="37"/>
      <c r="D613" s="37"/>
      <c r="E613" s="37"/>
      <c r="F613" s="37"/>
      <c r="G613" s="37"/>
      <c r="H613" s="37"/>
      <c r="I613" s="37"/>
      <c r="J613" s="37"/>
      <c r="K613" s="37"/>
      <c r="L613" s="37"/>
    </row>
    <row r="614" spans="1:12" ht="15.75" customHeight="1" x14ac:dyDescent="0.2">
      <c r="A614" s="37"/>
      <c r="B614" s="37"/>
      <c r="C614" s="37"/>
      <c r="D614" s="37"/>
      <c r="E614" s="37"/>
      <c r="F614" s="37"/>
      <c r="G614" s="37"/>
      <c r="H614" s="37"/>
      <c r="I614" s="37"/>
      <c r="J614" s="37"/>
      <c r="K614" s="37"/>
      <c r="L614" s="37"/>
    </row>
    <row r="615" spans="1:12" ht="15.75" customHeight="1" x14ac:dyDescent="0.2">
      <c r="A615" s="37"/>
      <c r="B615" s="37"/>
      <c r="C615" s="37"/>
      <c r="D615" s="37"/>
      <c r="E615" s="37"/>
      <c r="F615" s="37"/>
      <c r="G615" s="37"/>
      <c r="H615" s="37"/>
      <c r="I615" s="37"/>
      <c r="J615" s="37"/>
      <c r="K615" s="37"/>
      <c r="L615" s="37"/>
    </row>
    <row r="616" spans="1:12" ht="15.75" customHeight="1" x14ac:dyDescent="0.2">
      <c r="A616" s="37"/>
      <c r="B616" s="37"/>
      <c r="C616" s="37"/>
      <c r="D616" s="37"/>
      <c r="E616" s="37"/>
      <c r="F616" s="37"/>
      <c r="G616" s="37"/>
      <c r="H616" s="37"/>
      <c r="I616" s="37"/>
      <c r="J616" s="37"/>
      <c r="K616" s="37"/>
      <c r="L616" s="37"/>
    </row>
    <row r="617" spans="1:12" ht="15.75" customHeight="1" x14ac:dyDescent="0.2">
      <c r="A617" s="37"/>
      <c r="B617" s="37"/>
      <c r="C617" s="37"/>
      <c r="D617" s="37"/>
      <c r="E617" s="37"/>
      <c r="F617" s="37"/>
      <c r="G617" s="37"/>
      <c r="H617" s="37"/>
      <c r="I617" s="37"/>
      <c r="J617" s="37"/>
      <c r="K617" s="37"/>
      <c r="L617" s="37"/>
    </row>
    <row r="618" spans="1:12" ht="15.75" customHeight="1" x14ac:dyDescent="0.2">
      <c r="A618" s="37"/>
      <c r="B618" s="37"/>
      <c r="C618" s="37"/>
      <c r="D618" s="37"/>
      <c r="E618" s="37"/>
      <c r="F618" s="37"/>
      <c r="G618" s="37"/>
      <c r="H618" s="37"/>
      <c r="I618" s="37"/>
      <c r="J618" s="37"/>
      <c r="K618" s="37"/>
      <c r="L618" s="37"/>
    </row>
    <row r="619" spans="1:12" ht="15.75" customHeight="1" x14ac:dyDescent="0.2">
      <c r="A619" s="37"/>
      <c r="B619" s="37"/>
      <c r="C619" s="37"/>
      <c r="D619" s="37"/>
      <c r="E619" s="37"/>
      <c r="F619" s="37"/>
      <c r="G619" s="37"/>
      <c r="H619" s="37"/>
      <c r="I619" s="37"/>
      <c r="J619" s="37"/>
      <c r="K619" s="37"/>
      <c r="L619" s="37"/>
    </row>
    <row r="620" spans="1:12" ht="15.75" customHeight="1" x14ac:dyDescent="0.2">
      <c r="A620" s="37"/>
      <c r="B620" s="37"/>
      <c r="C620" s="37"/>
      <c r="D620" s="37"/>
      <c r="E620" s="37"/>
      <c r="F620" s="37"/>
      <c r="G620" s="37"/>
      <c r="H620" s="37"/>
      <c r="I620" s="37"/>
      <c r="J620" s="37"/>
      <c r="K620" s="37"/>
      <c r="L620" s="37"/>
    </row>
    <row r="621" spans="1:12" ht="15.75" customHeight="1" x14ac:dyDescent="0.2">
      <c r="A621" s="37"/>
      <c r="B621" s="37"/>
      <c r="C621" s="37"/>
      <c r="D621" s="37"/>
      <c r="E621" s="37"/>
      <c r="F621" s="37"/>
      <c r="G621" s="37"/>
      <c r="H621" s="37"/>
      <c r="I621" s="37"/>
      <c r="J621" s="37"/>
      <c r="K621" s="37"/>
      <c r="L621" s="37"/>
    </row>
    <row r="622" spans="1:12" ht="15.75" customHeight="1" x14ac:dyDescent="0.2">
      <c r="A622" s="37"/>
      <c r="B622" s="37"/>
      <c r="C622" s="37"/>
      <c r="D622" s="37"/>
      <c r="E622" s="37"/>
      <c r="F622" s="37"/>
      <c r="G622" s="37"/>
      <c r="H622" s="37"/>
      <c r="I622" s="37"/>
      <c r="J622" s="37"/>
      <c r="K622" s="37"/>
      <c r="L622" s="37"/>
    </row>
    <row r="623" spans="1:12" ht="15.75" customHeight="1" x14ac:dyDescent="0.2">
      <c r="A623" s="37"/>
      <c r="B623" s="37"/>
      <c r="C623" s="37"/>
      <c r="D623" s="37"/>
      <c r="E623" s="37"/>
      <c r="F623" s="37"/>
      <c r="G623" s="37"/>
      <c r="H623" s="37"/>
      <c r="I623" s="37"/>
      <c r="J623" s="37"/>
      <c r="K623" s="37"/>
      <c r="L623" s="37"/>
    </row>
    <row r="624" spans="1:12" ht="15.75" customHeight="1" x14ac:dyDescent="0.2">
      <c r="A624" s="37"/>
      <c r="B624" s="37"/>
      <c r="C624" s="37"/>
      <c r="D624" s="37"/>
      <c r="E624" s="37"/>
      <c r="F624" s="37"/>
      <c r="G624" s="37"/>
      <c r="H624" s="37"/>
      <c r="I624" s="37"/>
      <c r="J624" s="37"/>
      <c r="K624" s="37"/>
      <c r="L624" s="37"/>
    </row>
    <row r="625" spans="1:12" ht="15.75" customHeight="1" x14ac:dyDescent="0.2">
      <c r="A625" s="37"/>
      <c r="B625" s="37"/>
      <c r="C625" s="37"/>
      <c r="D625" s="37"/>
      <c r="E625" s="37"/>
      <c r="F625" s="37"/>
      <c r="G625" s="37"/>
      <c r="H625" s="37"/>
      <c r="I625" s="37"/>
      <c r="J625" s="37"/>
      <c r="K625" s="37"/>
      <c r="L625" s="37"/>
    </row>
    <row r="626" spans="1:12" ht="15.75" customHeight="1" x14ac:dyDescent="0.2">
      <c r="A626" s="37"/>
      <c r="B626" s="37"/>
      <c r="C626" s="37"/>
      <c r="D626" s="37"/>
      <c r="E626" s="37"/>
      <c r="F626" s="37"/>
      <c r="G626" s="37"/>
      <c r="H626" s="37"/>
      <c r="I626" s="37"/>
      <c r="J626" s="37"/>
      <c r="K626" s="37"/>
      <c r="L626" s="37"/>
    </row>
    <row r="627" spans="1:12" ht="15.75" customHeight="1" x14ac:dyDescent="0.2">
      <c r="A627" s="37"/>
      <c r="B627" s="37"/>
      <c r="C627" s="37"/>
      <c r="D627" s="37"/>
      <c r="E627" s="37"/>
      <c r="F627" s="37"/>
      <c r="G627" s="37"/>
      <c r="H627" s="37"/>
      <c r="I627" s="37"/>
      <c r="J627" s="37"/>
      <c r="K627" s="37"/>
      <c r="L627" s="37"/>
    </row>
    <row r="628" spans="1:12" ht="15.75" customHeight="1" x14ac:dyDescent="0.2">
      <c r="A628" s="37"/>
      <c r="B628" s="37"/>
      <c r="C628" s="37"/>
      <c r="D628" s="37"/>
      <c r="E628" s="37"/>
      <c r="F628" s="37"/>
      <c r="G628" s="37"/>
      <c r="H628" s="37"/>
      <c r="I628" s="37"/>
      <c r="J628" s="37"/>
      <c r="K628" s="37"/>
      <c r="L628" s="37"/>
    </row>
    <row r="629" spans="1:12" ht="15.75" customHeight="1" x14ac:dyDescent="0.2">
      <c r="A629" s="37"/>
      <c r="B629" s="37"/>
      <c r="C629" s="37"/>
      <c r="D629" s="37"/>
      <c r="E629" s="37"/>
      <c r="F629" s="37"/>
      <c r="G629" s="37"/>
      <c r="H629" s="37"/>
      <c r="I629" s="37"/>
      <c r="J629" s="37"/>
      <c r="K629" s="37"/>
      <c r="L629" s="37"/>
    </row>
    <row r="630" spans="1:12" ht="15.75" customHeight="1" x14ac:dyDescent="0.2">
      <c r="A630" s="37"/>
      <c r="B630" s="37"/>
      <c r="C630" s="37"/>
      <c r="D630" s="37"/>
      <c r="E630" s="37"/>
      <c r="F630" s="37"/>
      <c r="G630" s="37"/>
      <c r="H630" s="37"/>
      <c r="I630" s="37"/>
      <c r="J630" s="37"/>
      <c r="K630" s="37"/>
      <c r="L630" s="37"/>
    </row>
    <row r="631" spans="1:12" ht="15.75" customHeight="1" x14ac:dyDescent="0.2">
      <c r="A631" s="37"/>
      <c r="B631" s="37"/>
      <c r="C631" s="37"/>
      <c r="D631" s="37"/>
      <c r="E631" s="37"/>
      <c r="F631" s="37"/>
      <c r="G631" s="37"/>
      <c r="H631" s="37"/>
      <c r="I631" s="37"/>
      <c r="J631" s="37"/>
      <c r="K631" s="37"/>
      <c r="L631" s="37"/>
    </row>
    <row r="632" spans="1:12" ht="15.75" customHeight="1" x14ac:dyDescent="0.2">
      <c r="A632" s="37"/>
      <c r="B632" s="37"/>
      <c r="C632" s="37"/>
      <c r="D632" s="37"/>
      <c r="E632" s="37"/>
      <c r="F632" s="37"/>
      <c r="G632" s="37"/>
      <c r="H632" s="37"/>
      <c r="I632" s="37"/>
      <c r="J632" s="37"/>
      <c r="K632" s="37"/>
      <c r="L632" s="37"/>
    </row>
    <row r="633" spans="1:12" ht="15.75" customHeight="1" x14ac:dyDescent="0.2">
      <c r="A633" s="37"/>
      <c r="B633" s="37"/>
      <c r="C633" s="37"/>
      <c r="D633" s="37"/>
      <c r="E633" s="37"/>
      <c r="F633" s="37"/>
      <c r="G633" s="37"/>
      <c r="H633" s="37"/>
      <c r="I633" s="37"/>
      <c r="J633" s="37"/>
      <c r="K633" s="37"/>
      <c r="L633" s="37"/>
    </row>
    <row r="634" spans="1:12" ht="15.75" customHeight="1" x14ac:dyDescent="0.2">
      <c r="A634" s="37"/>
      <c r="B634" s="37"/>
      <c r="C634" s="37"/>
      <c r="D634" s="37"/>
      <c r="E634" s="37"/>
      <c r="F634" s="37"/>
      <c r="G634" s="37"/>
      <c r="H634" s="37"/>
      <c r="I634" s="37"/>
      <c r="J634" s="37"/>
      <c r="K634" s="37"/>
      <c r="L634" s="37"/>
    </row>
    <row r="635" spans="1:12" ht="15.75" customHeight="1" x14ac:dyDescent="0.2">
      <c r="A635" s="37"/>
      <c r="B635" s="37"/>
      <c r="C635" s="37"/>
      <c r="D635" s="37"/>
      <c r="E635" s="37"/>
      <c r="F635" s="37"/>
      <c r="G635" s="37"/>
      <c r="H635" s="37"/>
      <c r="I635" s="37"/>
      <c r="J635" s="37"/>
      <c r="K635" s="37"/>
      <c r="L635" s="37"/>
    </row>
    <row r="636" spans="1:12" ht="15.75" customHeight="1" x14ac:dyDescent="0.2">
      <c r="A636" s="37"/>
      <c r="B636" s="37"/>
      <c r="C636" s="37"/>
      <c r="D636" s="37"/>
      <c r="E636" s="37"/>
      <c r="F636" s="37"/>
      <c r="G636" s="37"/>
      <c r="H636" s="37"/>
      <c r="I636" s="37"/>
      <c r="J636" s="37"/>
      <c r="K636" s="37"/>
      <c r="L636" s="37"/>
    </row>
    <row r="637" spans="1:12" ht="15.75" customHeight="1" x14ac:dyDescent="0.2">
      <c r="A637" s="37"/>
      <c r="B637" s="37"/>
      <c r="C637" s="37"/>
      <c r="D637" s="37"/>
      <c r="E637" s="37"/>
      <c r="F637" s="37"/>
      <c r="G637" s="37"/>
      <c r="H637" s="37"/>
      <c r="I637" s="37"/>
      <c r="J637" s="37"/>
      <c r="K637" s="37"/>
      <c r="L637" s="37"/>
    </row>
    <row r="638" spans="1:12" ht="15.75" customHeight="1" x14ac:dyDescent="0.2">
      <c r="A638" s="37"/>
      <c r="B638" s="37"/>
      <c r="C638" s="37"/>
      <c r="D638" s="37"/>
      <c r="E638" s="37"/>
      <c r="F638" s="37"/>
      <c r="G638" s="37"/>
      <c r="H638" s="37"/>
      <c r="I638" s="37"/>
      <c r="J638" s="37"/>
      <c r="K638" s="37"/>
      <c r="L638" s="37"/>
    </row>
    <row r="639" spans="1:12" ht="15.75" customHeight="1" x14ac:dyDescent="0.2">
      <c r="A639" s="37"/>
      <c r="B639" s="37"/>
      <c r="C639" s="37"/>
      <c r="D639" s="37"/>
      <c r="E639" s="37"/>
      <c r="F639" s="37"/>
      <c r="G639" s="37"/>
      <c r="H639" s="37"/>
      <c r="I639" s="37"/>
      <c r="J639" s="37"/>
      <c r="K639" s="37"/>
      <c r="L639" s="37"/>
    </row>
    <row r="640" spans="1:12" ht="15.75" customHeight="1" x14ac:dyDescent="0.2">
      <c r="A640" s="37"/>
      <c r="B640" s="37"/>
      <c r="C640" s="37"/>
      <c r="D640" s="37"/>
      <c r="E640" s="37"/>
      <c r="F640" s="37"/>
      <c r="G640" s="37"/>
      <c r="H640" s="37"/>
      <c r="I640" s="37"/>
      <c r="J640" s="37"/>
      <c r="K640" s="37"/>
      <c r="L640" s="37"/>
    </row>
    <row r="641" spans="1:12" ht="15.75" customHeight="1" x14ac:dyDescent="0.2">
      <c r="A641" s="37"/>
      <c r="B641" s="37"/>
      <c r="C641" s="37"/>
      <c r="D641" s="37"/>
      <c r="E641" s="37"/>
      <c r="F641" s="37"/>
      <c r="G641" s="37"/>
      <c r="H641" s="37"/>
      <c r="I641" s="37"/>
      <c r="J641" s="37"/>
      <c r="K641" s="37"/>
      <c r="L641" s="37"/>
    </row>
    <row r="642" spans="1:12" ht="15.75" customHeight="1" x14ac:dyDescent="0.2">
      <c r="A642" s="37"/>
      <c r="B642" s="37"/>
      <c r="C642" s="37"/>
      <c r="D642" s="37"/>
      <c r="E642" s="37"/>
      <c r="F642" s="37"/>
      <c r="G642" s="37"/>
      <c r="H642" s="37"/>
      <c r="I642" s="37"/>
      <c r="J642" s="37"/>
      <c r="K642" s="37"/>
      <c r="L642" s="37"/>
    </row>
    <row r="643" spans="1:12" ht="15.75" customHeight="1" x14ac:dyDescent="0.2">
      <c r="A643" s="37"/>
      <c r="B643" s="37"/>
      <c r="C643" s="37"/>
      <c r="D643" s="37"/>
      <c r="E643" s="37"/>
      <c r="F643" s="37"/>
      <c r="G643" s="37"/>
      <c r="H643" s="37"/>
      <c r="I643" s="37"/>
      <c r="J643" s="37"/>
      <c r="K643" s="37"/>
      <c r="L643" s="37"/>
    </row>
    <row r="644" spans="1:12" ht="15.75" customHeight="1" x14ac:dyDescent="0.2">
      <c r="A644" s="37"/>
      <c r="B644" s="37"/>
      <c r="C644" s="37"/>
      <c r="D644" s="37"/>
      <c r="E644" s="37"/>
      <c r="F644" s="37"/>
      <c r="G644" s="37"/>
      <c r="H644" s="37"/>
      <c r="I644" s="37"/>
      <c r="J644" s="37"/>
      <c r="K644" s="37"/>
      <c r="L644" s="37"/>
    </row>
    <row r="645" spans="1:12" ht="15.75" customHeight="1" x14ac:dyDescent="0.2">
      <c r="A645" s="37"/>
      <c r="B645" s="37"/>
      <c r="C645" s="37"/>
      <c r="D645" s="37"/>
      <c r="E645" s="37"/>
      <c r="F645" s="37"/>
      <c r="G645" s="37"/>
      <c r="H645" s="37"/>
      <c r="I645" s="37"/>
      <c r="J645" s="37"/>
      <c r="K645" s="37"/>
      <c r="L645" s="37"/>
    </row>
    <row r="646" spans="1:12" ht="15.75" customHeight="1" x14ac:dyDescent="0.2">
      <c r="A646" s="37"/>
      <c r="B646" s="37"/>
      <c r="C646" s="37"/>
      <c r="D646" s="37"/>
      <c r="E646" s="37"/>
      <c r="F646" s="37"/>
      <c r="G646" s="37"/>
      <c r="H646" s="37"/>
      <c r="I646" s="37"/>
      <c r="J646" s="37"/>
      <c r="K646" s="37"/>
      <c r="L646" s="37"/>
    </row>
    <row r="647" spans="1:12" ht="15.75" customHeight="1" x14ac:dyDescent="0.2">
      <c r="A647" s="37"/>
      <c r="B647" s="37"/>
      <c r="C647" s="37"/>
      <c r="D647" s="37"/>
      <c r="E647" s="37"/>
      <c r="F647" s="37"/>
      <c r="G647" s="37"/>
      <c r="H647" s="37"/>
      <c r="I647" s="37"/>
      <c r="J647" s="37"/>
      <c r="K647" s="37"/>
      <c r="L647" s="37"/>
    </row>
    <row r="648" spans="1:12" ht="15.75" customHeight="1" x14ac:dyDescent="0.2">
      <c r="A648" s="37"/>
      <c r="B648" s="37"/>
      <c r="C648" s="37"/>
      <c r="D648" s="37"/>
      <c r="E648" s="37"/>
      <c r="F648" s="37"/>
      <c r="G648" s="37"/>
      <c r="H648" s="37"/>
      <c r="I648" s="37"/>
      <c r="J648" s="37"/>
      <c r="K648" s="37"/>
      <c r="L648" s="37"/>
    </row>
    <row r="649" spans="1:12" ht="15.75" customHeight="1" x14ac:dyDescent="0.2">
      <c r="A649" s="37"/>
      <c r="B649" s="37"/>
      <c r="C649" s="37"/>
      <c r="D649" s="37"/>
      <c r="E649" s="37"/>
      <c r="F649" s="37"/>
      <c r="G649" s="37"/>
      <c r="H649" s="37"/>
      <c r="I649" s="37"/>
      <c r="J649" s="37"/>
      <c r="K649" s="37"/>
      <c r="L649" s="37"/>
    </row>
    <row r="650" spans="1:12" ht="15.75" customHeight="1" x14ac:dyDescent="0.2">
      <c r="A650" s="37"/>
      <c r="B650" s="37"/>
      <c r="C650" s="37"/>
      <c r="D650" s="37"/>
      <c r="E650" s="37"/>
      <c r="F650" s="37"/>
      <c r="G650" s="37"/>
      <c r="H650" s="37"/>
      <c r="I650" s="37"/>
      <c r="J650" s="37"/>
      <c r="K650" s="37"/>
      <c r="L650" s="37"/>
    </row>
    <row r="651" spans="1:12" ht="15.75" customHeight="1" x14ac:dyDescent="0.2">
      <c r="A651" s="37"/>
      <c r="B651" s="37"/>
      <c r="C651" s="37"/>
      <c r="D651" s="37"/>
      <c r="E651" s="37"/>
      <c r="F651" s="37"/>
      <c r="G651" s="37"/>
      <c r="H651" s="37"/>
      <c r="I651" s="37"/>
      <c r="J651" s="37"/>
      <c r="K651" s="37"/>
      <c r="L651" s="37"/>
    </row>
    <row r="652" spans="1:12" ht="15.75" customHeight="1" x14ac:dyDescent="0.2">
      <c r="A652" s="37"/>
      <c r="B652" s="37"/>
      <c r="C652" s="37"/>
      <c r="D652" s="37"/>
      <c r="E652" s="37"/>
      <c r="F652" s="37"/>
      <c r="G652" s="37"/>
      <c r="H652" s="37"/>
      <c r="I652" s="37"/>
      <c r="J652" s="37"/>
      <c r="K652" s="37"/>
      <c r="L652" s="37"/>
    </row>
    <row r="653" spans="1:12" ht="15.75" customHeight="1" x14ac:dyDescent="0.2">
      <c r="A653" s="37"/>
      <c r="B653" s="37"/>
      <c r="C653" s="37"/>
      <c r="D653" s="37"/>
      <c r="E653" s="37"/>
      <c r="F653" s="37"/>
      <c r="G653" s="37"/>
      <c r="H653" s="37"/>
      <c r="I653" s="37"/>
      <c r="J653" s="37"/>
      <c r="K653" s="37"/>
      <c r="L653" s="37"/>
    </row>
    <row r="654" spans="1:12" ht="15.75" customHeight="1" x14ac:dyDescent="0.2">
      <c r="A654" s="37"/>
      <c r="B654" s="37"/>
      <c r="C654" s="37"/>
      <c r="D654" s="37"/>
      <c r="E654" s="37"/>
      <c r="F654" s="37"/>
      <c r="G654" s="37"/>
      <c r="H654" s="37"/>
      <c r="I654" s="37"/>
      <c r="J654" s="37"/>
      <c r="K654" s="37"/>
      <c r="L654" s="37"/>
    </row>
    <row r="655" spans="1:12" ht="15.75" customHeight="1" x14ac:dyDescent="0.2">
      <c r="A655" s="37"/>
      <c r="B655" s="37"/>
      <c r="C655" s="37"/>
      <c r="D655" s="37"/>
      <c r="E655" s="37"/>
      <c r="F655" s="37"/>
      <c r="G655" s="37"/>
      <c r="H655" s="37"/>
      <c r="I655" s="37"/>
      <c r="J655" s="37"/>
      <c r="K655" s="37"/>
      <c r="L655" s="37"/>
    </row>
    <row r="656" spans="1:12" ht="15.75" customHeight="1" x14ac:dyDescent="0.2">
      <c r="A656" s="37"/>
      <c r="B656" s="37"/>
      <c r="C656" s="37"/>
      <c r="D656" s="37"/>
      <c r="E656" s="37"/>
      <c r="F656" s="37"/>
      <c r="G656" s="37"/>
      <c r="H656" s="37"/>
      <c r="I656" s="37"/>
      <c r="J656" s="37"/>
      <c r="K656" s="37"/>
      <c r="L656" s="37"/>
    </row>
    <row r="657" spans="1:12" ht="15.75" customHeight="1" x14ac:dyDescent="0.2">
      <c r="A657" s="37"/>
      <c r="B657" s="37"/>
      <c r="C657" s="37"/>
      <c r="D657" s="37"/>
      <c r="E657" s="37"/>
      <c r="F657" s="37"/>
      <c r="G657" s="37"/>
      <c r="H657" s="37"/>
      <c r="I657" s="37"/>
      <c r="J657" s="37"/>
      <c r="K657" s="37"/>
      <c r="L657" s="37"/>
    </row>
    <row r="658" spans="1:12" ht="15.75" customHeight="1" x14ac:dyDescent="0.2">
      <c r="A658" s="37"/>
      <c r="B658" s="37"/>
      <c r="C658" s="37"/>
      <c r="D658" s="37"/>
      <c r="E658" s="37"/>
      <c r="F658" s="37"/>
      <c r="G658" s="37"/>
      <c r="H658" s="37"/>
      <c r="I658" s="37"/>
      <c r="J658" s="37"/>
      <c r="K658" s="37"/>
      <c r="L658" s="37"/>
    </row>
    <row r="659" spans="1:12" ht="15.75" customHeight="1" x14ac:dyDescent="0.2">
      <c r="A659" s="37"/>
      <c r="B659" s="37"/>
      <c r="C659" s="37"/>
      <c r="D659" s="37"/>
      <c r="E659" s="37"/>
      <c r="F659" s="37"/>
      <c r="G659" s="37"/>
      <c r="H659" s="37"/>
      <c r="I659" s="37"/>
      <c r="J659" s="37"/>
      <c r="K659" s="37"/>
      <c r="L659" s="37"/>
    </row>
    <row r="660" spans="1:12" ht="15.75" customHeight="1" x14ac:dyDescent="0.2">
      <c r="A660" s="37"/>
      <c r="B660" s="37"/>
      <c r="C660" s="37"/>
      <c r="D660" s="37"/>
      <c r="E660" s="37"/>
      <c r="F660" s="37"/>
      <c r="G660" s="37"/>
      <c r="H660" s="37"/>
      <c r="I660" s="37"/>
      <c r="J660" s="37"/>
      <c r="K660" s="37"/>
      <c r="L660" s="37"/>
    </row>
    <row r="661" spans="1:12" ht="15.75" customHeight="1" x14ac:dyDescent="0.2">
      <c r="A661" s="37"/>
      <c r="B661" s="37"/>
      <c r="C661" s="37"/>
      <c r="D661" s="37"/>
      <c r="E661" s="37"/>
      <c r="F661" s="37"/>
      <c r="G661" s="37"/>
      <c r="H661" s="37"/>
      <c r="I661" s="37"/>
      <c r="J661" s="37"/>
      <c r="K661" s="37"/>
      <c r="L661" s="37"/>
    </row>
    <row r="662" spans="1:12" ht="15.75" customHeight="1" x14ac:dyDescent="0.2">
      <c r="A662" s="37"/>
      <c r="B662" s="37"/>
      <c r="C662" s="37"/>
      <c r="D662" s="37"/>
      <c r="E662" s="37"/>
      <c r="F662" s="37"/>
      <c r="G662" s="37"/>
      <c r="H662" s="37"/>
      <c r="I662" s="37"/>
      <c r="J662" s="37"/>
      <c r="K662" s="37"/>
      <c r="L662" s="37"/>
    </row>
    <row r="663" spans="1:12" ht="15.75" customHeight="1" x14ac:dyDescent="0.2">
      <c r="A663" s="37"/>
      <c r="B663" s="37"/>
      <c r="C663" s="37"/>
      <c r="D663" s="37"/>
      <c r="E663" s="37"/>
      <c r="F663" s="37"/>
      <c r="G663" s="37"/>
      <c r="H663" s="37"/>
      <c r="I663" s="37"/>
      <c r="J663" s="37"/>
      <c r="K663" s="37"/>
      <c r="L663" s="37"/>
    </row>
    <row r="664" spans="1:12" ht="15.75" customHeight="1" x14ac:dyDescent="0.2">
      <c r="A664" s="37"/>
      <c r="B664" s="37"/>
      <c r="C664" s="37"/>
      <c r="D664" s="37"/>
      <c r="E664" s="37"/>
      <c r="F664" s="37"/>
      <c r="G664" s="37"/>
      <c r="H664" s="37"/>
      <c r="I664" s="37"/>
      <c r="J664" s="37"/>
      <c r="K664" s="37"/>
      <c r="L664" s="37"/>
    </row>
    <row r="665" spans="1:12" ht="15.75" customHeight="1" x14ac:dyDescent="0.2">
      <c r="A665" s="37"/>
      <c r="B665" s="37"/>
      <c r="C665" s="37"/>
      <c r="D665" s="37"/>
      <c r="E665" s="37"/>
      <c r="F665" s="37"/>
      <c r="G665" s="37"/>
      <c r="H665" s="37"/>
      <c r="I665" s="37"/>
      <c r="J665" s="37"/>
      <c r="K665" s="37"/>
      <c r="L665" s="37"/>
    </row>
    <row r="666" spans="1:12" ht="15.75" customHeight="1" x14ac:dyDescent="0.2">
      <c r="A666" s="37"/>
      <c r="B666" s="37"/>
      <c r="C666" s="37"/>
      <c r="D666" s="37"/>
      <c r="E666" s="37"/>
      <c r="F666" s="37"/>
      <c r="G666" s="37"/>
      <c r="H666" s="37"/>
      <c r="I666" s="37"/>
      <c r="J666" s="37"/>
      <c r="K666" s="37"/>
      <c r="L666" s="37"/>
    </row>
    <row r="667" spans="1:12" ht="15.75" customHeight="1" x14ac:dyDescent="0.2">
      <c r="A667" s="37"/>
      <c r="B667" s="37"/>
      <c r="C667" s="37"/>
      <c r="D667" s="37"/>
      <c r="E667" s="37"/>
      <c r="F667" s="37"/>
      <c r="G667" s="37"/>
      <c r="H667" s="37"/>
      <c r="I667" s="37"/>
      <c r="J667" s="37"/>
      <c r="K667" s="37"/>
      <c r="L667" s="37"/>
    </row>
    <row r="668" spans="1:12" ht="15.75" customHeight="1" x14ac:dyDescent="0.2">
      <c r="A668" s="37"/>
      <c r="B668" s="37"/>
      <c r="C668" s="37"/>
      <c r="D668" s="37"/>
      <c r="E668" s="37"/>
      <c r="F668" s="37"/>
      <c r="G668" s="37"/>
      <c r="H668" s="37"/>
      <c r="I668" s="37"/>
      <c r="J668" s="37"/>
      <c r="K668" s="37"/>
      <c r="L668" s="37"/>
    </row>
    <row r="669" spans="1:12" ht="15.75" customHeight="1" x14ac:dyDescent="0.2">
      <c r="A669" s="37"/>
      <c r="B669" s="37"/>
      <c r="C669" s="37"/>
      <c r="D669" s="37"/>
      <c r="E669" s="37"/>
      <c r="F669" s="37"/>
      <c r="G669" s="37"/>
      <c r="H669" s="37"/>
      <c r="I669" s="37"/>
      <c r="J669" s="37"/>
      <c r="K669" s="37"/>
      <c r="L669" s="37"/>
    </row>
    <row r="670" spans="1:12" ht="15.75" customHeight="1" x14ac:dyDescent="0.2">
      <c r="A670" s="37"/>
      <c r="B670" s="37"/>
      <c r="C670" s="37"/>
      <c r="D670" s="37"/>
      <c r="E670" s="37"/>
      <c r="F670" s="37"/>
      <c r="G670" s="37"/>
      <c r="H670" s="37"/>
      <c r="I670" s="37"/>
      <c r="J670" s="37"/>
      <c r="K670" s="37"/>
      <c r="L670" s="37"/>
    </row>
    <row r="671" spans="1:12" ht="15.75" customHeight="1" x14ac:dyDescent="0.2">
      <c r="A671" s="37"/>
      <c r="B671" s="37"/>
      <c r="C671" s="37"/>
      <c r="D671" s="37"/>
      <c r="E671" s="37"/>
      <c r="F671" s="37"/>
      <c r="G671" s="37"/>
      <c r="H671" s="37"/>
      <c r="I671" s="37"/>
      <c r="J671" s="37"/>
      <c r="K671" s="37"/>
      <c r="L671" s="37"/>
    </row>
    <row r="672" spans="1:12" ht="15.75" customHeight="1" x14ac:dyDescent="0.2">
      <c r="A672" s="37"/>
      <c r="B672" s="37"/>
      <c r="C672" s="37"/>
      <c r="D672" s="37"/>
      <c r="E672" s="37"/>
      <c r="F672" s="37"/>
      <c r="G672" s="37"/>
      <c r="H672" s="37"/>
      <c r="I672" s="37"/>
      <c r="J672" s="37"/>
      <c r="K672" s="37"/>
      <c r="L672" s="37"/>
    </row>
    <row r="673" spans="1:12" ht="15.75" customHeight="1" x14ac:dyDescent="0.2">
      <c r="A673" s="37"/>
      <c r="B673" s="37"/>
      <c r="C673" s="37"/>
      <c r="D673" s="37"/>
      <c r="E673" s="37"/>
      <c r="F673" s="37"/>
      <c r="G673" s="37"/>
      <c r="H673" s="37"/>
      <c r="I673" s="37"/>
      <c r="J673" s="37"/>
      <c r="K673" s="37"/>
      <c r="L673" s="37"/>
    </row>
    <row r="674" spans="1:12" ht="15.75" customHeight="1" x14ac:dyDescent="0.2">
      <c r="A674" s="37"/>
      <c r="B674" s="37"/>
      <c r="C674" s="37"/>
      <c r="D674" s="37"/>
      <c r="E674" s="37"/>
      <c r="F674" s="37"/>
      <c r="G674" s="37"/>
      <c r="H674" s="37"/>
      <c r="I674" s="37"/>
      <c r="J674" s="37"/>
      <c r="K674" s="37"/>
      <c r="L674" s="37"/>
    </row>
    <row r="675" spans="1:12" ht="15.75" customHeight="1" x14ac:dyDescent="0.2">
      <c r="A675" s="37"/>
      <c r="B675" s="37"/>
      <c r="C675" s="37"/>
      <c r="D675" s="37"/>
      <c r="E675" s="37"/>
      <c r="F675" s="37"/>
      <c r="G675" s="37"/>
      <c r="H675" s="37"/>
      <c r="I675" s="37"/>
      <c r="J675" s="37"/>
      <c r="K675" s="37"/>
      <c r="L675" s="37"/>
    </row>
    <row r="676" spans="1:12" ht="15.75" customHeight="1" x14ac:dyDescent="0.2">
      <c r="A676" s="37"/>
      <c r="B676" s="37"/>
      <c r="C676" s="37"/>
      <c r="D676" s="37"/>
      <c r="E676" s="37"/>
      <c r="F676" s="37"/>
      <c r="G676" s="37"/>
      <c r="H676" s="37"/>
      <c r="I676" s="37"/>
      <c r="J676" s="37"/>
      <c r="K676" s="37"/>
      <c r="L676" s="37"/>
    </row>
    <row r="677" spans="1:12" ht="15.75" customHeight="1" x14ac:dyDescent="0.2">
      <c r="A677" s="37"/>
      <c r="B677" s="37"/>
      <c r="C677" s="37"/>
      <c r="D677" s="37"/>
      <c r="E677" s="37"/>
      <c r="F677" s="37"/>
      <c r="G677" s="37"/>
      <c r="H677" s="37"/>
      <c r="I677" s="37"/>
      <c r="J677" s="37"/>
      <c r="K677" s="37"/>
      <c r="L677" s="37"/>
    </row>
    <row r="678" spans="1:12" ht="15.75" customHeight="1" x14ac:dyDescent="0.2">
      <c r="A678" s="37"/>
      <c r="B678" s="37"/>
      <c r="C678" s="37"/>
      <c r="D678" s="37"/>
      <c r="E678" s="37"/>
      <c r="F678" s="37"/>
      <c r="G678" s="37"/>
      <c r="H678" s="37"/>
      <c r="I678" s="37"/>
      <c r="J678" s="37"/>
      <c r="K678" s="37"/>
      <c r="L678" s="37"/>
    </row>
    <row r="679" spans="1:12" ht="15.75" customHeight="1" x14ac:dyDescent="0.2">
      <c r="A679" s="37"/>
      <c r="B679" s="37"/>
      <c r="C679" s="37"/>
      <c r="D679" s="37"/>
      <c r="E679" s="37"/>
      <c r="F679" s="37"/>
      <c r="G679" s="37"/>
      <c r="H679" s="37"/>
      <c r="I679" s="37"/>
      <c r="J679" s="37"/>
      <c r="K679" s="37"/>
      <c r="L679" s="37"/>
    </row>
    <row r="680" spans="1:12" ht="15.75" customHeight="1" x14ac:dyDescent="0.2">
      <c r="A680" s="37"/>
      <c r="B680" s="37"/>
      <c r="C680" s="37"/>
      <c r="D680" s="37"/>
      <c r="E680" s="37"/>
      <c r="F680" s="37"/>
      <c r="G680" s="37"/>
      <c r="H680" s="37"/>
      <c r="I680" s="37"/>
      <c r="J680" s="37"/>
      <c r="K680" s="37"/>
      <c r="L680" s="37"/>
    </row>
    <row r="681" spans="1:12" ht="15.75" customHeight="1" x14ac:dyDescent="0.2">
      <c r="A681" s="37"/>
      <c r="B681" s="37"/>
      <c r="C681" s="37"/>
      <c r="D681" s="37"/>
      <c r="E681" s="37"/>
      <c r="F681" s="37"/>
      <c r="G681" s="37"/>
      <c r="H681" s="37"/>
      <c r="I681" s="37"/>
      <c r="J681" s="37"/>
      <c r="K681" s="37"/>
      <c r="L681" s="37"/>
    </row>
    <row r="682" spans="1:12" ht="15.75" customHeight="1" x14ac:dyDescent="0.2">
      <c r="A682" s="37"/>
      <c r="B682" s="37"/>
      <c r="C682" s="37"/>
      <c r="D682" s="37"/>
      <c r="E682" s="37"/>
      <c r="F682" s="37"/>
      <c r="G682" s="37"/>
      <c r="H682" s="37"/>
      <c r="I682" s="37"/>
      <c r="J682" s="37"/>
      <c r="K682" s="37"/>
      <c r="L682" s="37"/>
    </row>
    <row r="683" spans="1:12" ht="15.75" customHeight="1" x14ac:dyDescent="0.2">
      <c r="A683" s="37"/>
      <c r="B683" s="37"/>
      <c r="C683" s="37"/>
      <c r="D683" s="37"/>
      <c r="E683" s="37"/>
      <c r="F683" s="37"/>
      <c r="G683" s="37"/>
      <c r="H683" s="37"/>
      <c r="I683" s="37"/>
      <c r="J683" s="37"/>
      <c r="K683" s="37"/>
      <c r="L683" s="37"/>
    </row>
    <row r="684" spans="1:12" ht="15.75" customHeight="1" x14ac:dyDescent="0.2">
      <c r="A684" s="37"/>
      <c r="B684" s="37"/>
      <c r="C684" s="37"/>
      <c r="D684" s="37"/>
      <c r="E684" s="37"/>
      <c r="F684" s="37"/>
      <c r="G684" s="37"/>
      <c r="H684" s="37"/>
      <c r="I684" s="37"/>
      <c r="J684" s="37"/>
      <c r="K684" s="37"/>
      <c r="L684" s="37"/>
    </row>
    <row r="685" spans="1:12" ht="15.75" customHeight="1" x14ac:dyDescent="0.2">
      <c r="A685" s="37"/>
      <c r="B685" s="37"/>
      <c r="C685" s="37"/>
      <c r="D685" s="37"/>
      <c r="E685" s="37"/>
      <c r="F685" s="37"/>
      <c r="G685" s="37"/>
      <c r="H685" s="37"/>
      <c r="I685" s="37"/>
      <c r="J685" s="37"/>
      <c r="K685" s="37"/>
      <c r="L685" s="37"/>
    </row>
    <row r="686" spans="1:12" ht="15.75" customHeight="1" x14ac:dyDescent="0.2">
      <c r="A686" s="37"/>
      <c r="B686" s="37"/>
      <c r="C686" s="37"/>
      <c r="D686" s="37"/>
      <c r="E686" s="37"/>
      <c r="F686" s="37"/>
      <c r="G686" s="37"/>
      <c r="H686" s="37"/>
      <c r="I686" s="37"/>
      <c r="J686" s="37"/>
      <c r="K686" s="37"/>
      <c r="L686" s="37"/>
    </row>
    <row r="687" spans="1:12" ht="15.75" customHeight="1" x14ac:dyDescent="0.2">
      <c r="A687" s="37"/>
      <c r="B687" s="37"/>
      <c r="C687" s="37"/>
      <c r="D687" s="37"/>
      <c r="E687" s="37"/>
      <c r="F687" s="37"/>
      <c r="G687" s="37"/>
      <c r="H687" s="37"/>
      <c r="I687" s="37"/>
      <c r="J687" s="37"/>
      <c r="K687" s="37"/>
      <c r="L687" s="37"/>
    </row>
    <row r="688" spans="1:12" ht="15.75" customHeight="1" x14ac:dyDescent="0.2">
      <c r="A688" s="37"/>
      <c r="B688" s="37"/>
      <c r="C688" s="37"/>
      <c r="D688" s="37"/>
      <c r="E688" s="37"/>
      <c r="F688" s="37"/>
      <c r="G688" s="37"/>
      <c r="H688" s="37"/>
      <c r="I688" s="37"/>
      <c r="J688" s="37"/>
      <c r="K688" s="37"/>
      <c r="L688" s="37"/>
    </row>
    <row r="689" spans="1:12" ht="15.75" customHeight="1" x14ac:dyDescent="0.2">
      <c r="A689" s="37"/>
      <c r="B689" s="37"/>
      <c r="C689" s="37"/>
      <c r="D689" s="37"/>
      <c r="E689" s="37"/>
      <c r="F689" s="37"/>
      <c r="G689" s="37"/>
      <c r="H689" s="37"/>
      <c r="I689" s="37"/>
      <c r="J689" s="37"/>
      <c r="K689" s="37"/>
      <c r="L689" s="37"/>
    </row>
    <row r="690" spans="1:12" ht="15.75" customHeight="1" x14ac:dyDescent="0.2">
      <c r="A690" s="37"/>
      <c r="B690" s="37"/>
      <c r="C690" s="37"/>
      <c r="D690" s="37"/>
      <c r="E690" s="37"/>
      <c r="F690" s="37"/>
      <c r="G690" s="37"/>
      <c r="H690" s="37"/>
      <c r="I690" s="37"/>
      <c r="J690" s="37"/>
      <c r="K690" s="37"/>
      <c r="L690" s="37"/>
    </row>
    <row r="691" spans="1:12" ht="15.75" customHeight="1" x14ac:dyDescent="0.2">
      <c r="A691" s="37"/>
      <c r="B691" s="37"/>
      <c r="C691" s="37"/>
      <c r="D691" s="37"/>
      <c r="E691" s="37"/>
      <c r="F691" s="37"/>
      <c r="G691" s="37"/>
      <c r="H691" s="37"/>
      <c r="I691" s="37"/>
      <c r="J691" s="37"/>
      <c r="K691" s="37"/>
      <c r="L691" s="37"/>
    </row>
    <row r="692" spans="1:12" ht="15.75" customHeight="1" x14ac:dyDescent="0.2">
      <c r="A692" s="37"/>
      <c r="B692" s="37"/>
      <c r="C692" s="37"/>
      <c r="D692" s="37"/>
      <c r="E692" s="37"/>
      <c r="F692" s="37"/>
      <c r="G692" s="37"/>
      <c r="H692" s="37"/>
      <c r="I692" s="37"/>
      <c r="J692" s="37"/>
      <c r="K692" s="37"/>
      <c r="L692" s="37"/>
    </row>
    <row r="693" spans="1:12" ht="15.75" customHeight="1" x14ac:dyDescent="0.2">
      <c r="A693" s="37"/>
      <c r="B693" s="37"/>
      <c r="C693" s="37"/>
      <c r="D693" s="37"/>
      <c r="E693" s="37"/>
      <c r="F693" s="37"/>
      <c r="G693" s="37"/>
      <c r="H693" s="37"/>
      <c r="I693" s="37"/>
      <c r="J693" s="37"/>
      <c r="K693" s="37"/>
      <c r="L693" s="37"/>
    </row>
    <row r="694" spans="1:12" ht="15.75" customHeight="1" x14ac:dyDescent="0.2">
      <c r="A694" s="37"/>
      <c r="B694" s="37"/>
      <c r="C694" s="37"/>
      <c r="D694" s="37"/>
      <c r="E694" s="37"/>
      <c r="F694" s="37"/>
      <c r="G694" s="37"/>
      <c r="H694" s="37"/>
      <c r="I694" s="37"/>
      <c r="J694" s="37"/>
      <c r="K694" s="37"/>
      <c r="L694" s="37"/>
    </row>
    <row r="695" spans="1:12" ht="15.75" customHeight="1" x14ac:dyDescent="0.2">
      <c r="A695" s="37"/>
      <c r="B695" s="37"/>
      <c r="C695" s="37"/>
      <c r="D695" s="37"/>
      <c r="E695" s="37"/>
      <c r="F695" s="37"/>
      <c r="G695" s="37"/>
      <c r="H695" s="37"/>
      <c r="I695" s="37"/>
      <c r="J695" s="37"/>
      <c r="K695" s="37"/>
      <c r="L695" s="37"/>
    </row>
    <row r="696" spans="1:12" ht="15.75" customHeight="1" x14ac:dyDescent="0.2">
      <c r="A696" s="37"/>
      <c r="B696" s="37"/>
      <c r="C696" s="37"/>
      <c r="D696" s="37"/>
      <c r="E696" s="37"/>
      <c r="F696" s="37"/>
      <c r="G696" s="37"/>
      <c r="H696" s="37"/>
      <c r="I696" s="37"/>
      <c r="J696" s="37"/>
      <c r="K696" s="37"/>
      <c r="L696" s="37"/>
    </row>
    <row r="697" spans="1:12" ht="15.75" customHeight="1" x14ac:dyDescent="0.2">
      <c r="A697" s="37"/>
      <c r="B697" s="37"/>
      <c r="C697" s="37"/>
      <c r="D697" s="37"/>
      <c r="E697" s="37"/>
      <c r="F697" s="37"/>
      <c r="G697" s="37"/>
      <c r="H697" s="37"/>
      <c r="I697" s="37"/>
      <c r="J697" s="37"/>
      <c r="K697" s="37"/>
      <c r="L697" s="37"/>
    </row>
    <row r="698" spans="1:12" ht="15.75" customHeight="1" x14ac:dyDescent="0.2">
      <c r="A698" s="37"/>
      <c r="B698" s="37"/>
      <c r="C698" s="37"/>
      <c r="D698" s="37"/>
      <c r="E698" s="37"/>
      <c r="F698" s="37"/>
      <c r="G698" s="37"/>
      <c r="H698" s="37"/>
      <c r="I698" s="37"/>
      <c r="J698" s="37"/>
      <c r="K698" s="37"/>
      <c r="L698" s="37"/>
    </row>
    <row r="699" spans="1:12" ht="15.75" customHeight="1" x14ac:dyDescent="0.2">
      <c r="A699" s="37"/>
      <c r="B699" s="37"/>
      <c r="C699" s="37"/>
      <c r="D699" s="37"/>
      <c r="E699" s="37"/>
      <c r="F699" s="37"/>
      <c r="G699" s="37"/>
      <c r="H699" s="37"/>
      <c r="I699" s="37"/>
      <c r="J699" s="37"/>
      <c r="K699" s="37"/>
      <c r="L699" s="37"/>
    </row>
    <row r="700" spans="1:12" ht="15.75" customHeight="1" x14ac:dyDescent="0.2">
      <c r="A700" s="37"/>
      <c r="B700" s="37"/>
      <c r="C700" s="37"/>
      <c r="D700" s="37"/>
      <c r="E700" s="37"/>
      <c r="F700" s="37"/>
      <c r="G700" s="37"/>
      <c r="H700" s="37"/>
      <c r="I700" s="37"/>
      <c r="J700" s="37"/>
      <c r="K700" s="37"/>
      <c r="L700" s="37"/>
    </row>
    <row r="701" spans="1:12" ht="15.75" customHeight="1" x14ac:dyDescent="0.2">
      <c r="A701" s="37"/>
      <c r="B701" s="37"/>
      <c r="C701" s="37"/>
      <c r="D701" s="37"/>
      <c r="E701" s="37"/>
      <c r="F701" s="37"/>
      <c r="G701" s="37"/>
      <c r="H701" s="37"/>
      <c r="I701" s="37"/>
      <c r="J701" s="37"/>
      <c r="K701" s="37"/>
      <c r="L701" s="37"/>
    </row>
    <row r="702" spans="1:12" ht="15.75" customHeight="1" x14ac:dyDescent="0.2">
      <c r="A702" s="37"/>
      <c r="B702" s="37"/>
      <c r="C702" s="37"/>
      <c r="D702" s="37"/>
      <c r="E702" s="37"/>
      <c r="F702" s="37"/>
      <c r="G702" s="37"/>
      <c r="H702" s="37"/>
      <c r="I702" s="37"/>
      <c r="J702" s="37"/>
      <c r="K702" s="37"/>
      <c r="L702" s="37"/>
    </row>
    <row r="703" spans="1:12" ht="15.75" customHeight="1" x14ac:dyDescent="0.2">
      <c r="A703" s="37"/>
      <c r="B703" s="37"/>
      <c r="C703" s="37"/>
      <c r="D703" s="37"/>
      <c r="E703" s="37"/>
      <c r="F703" s="37"/>
      <c r="G703" s="37"/>
      <c r="H703" s="37"/>
      <c r="I703" s="37"/>
      <c r="J703" s="37"/>
      <c r="K703" s="37"/>
      <c r="L703" s="37"/>
    </row>
    <row r="704" spans="1:12" ht="15.75" customHeight="1" x14ac:dyDescent="0.2">
      <c r="A704" s="37"/>
      <c r="B704" s="37"/>
      <c r="C704" s="37"/>
      <c r="D704" s="37"/>
      <c r="E704" s="37"/>
      <c r="F704" s="37"/>
      <c r="G704" s="37"/>
      <c r="H704" s="37"/>
      <c r="I704" s="37"/>
      <c r="J704" s="37"/>
      <c r="K704" s="37"/>
      <c r="L704" s="37"/>
    </row>
    <row r="705" spans="1:12" ht="15.75" customHeight="1" x14ac:dyDescent="0.2">
      <c r="A705" s="37"/>
      <c r="B705" s="37"/>
      <c r="C705" s="37"/>
      <c r="D705" s="37"/>
      <c r="E705" s="37"/>
      <c r="F705" s="37"/>
      <c r="G705" s="37"/>
      <c r="H705" s="37"/>
      <c r="I705" s="37"/>
      <c r="J705" s="37"/>
      <c r="K705" s="37"/>
      <c r="L705" s="37"/>
    </row>
    <row r="706" spans="1:12" ht="15.75" customHeight="1" x14ac:dyDescent="0.2">
      <c r="A706" s="37"/>
      <c r="B706" s="37"/>
      <c r="C706" s="37"/>
      <c r="D706" s="37"/>
      <c r="E706" s="37"/>
      <c r="F706" s="37"/>
      <c r="G706" s="37"/>
      <c r="H706" s="37"/>
      <c r="I706" s="37"/>
      <c r="J706" s="37"/>
      <c r="K706" s="37"/>
      <c r="L706" s="37"/>
    </row>
    <row r="707" spans="1:12" ht="15.75" customHeight="1" x14ac:dyDescent="0.2">
      <c r="A707" s="37"/>
      <c r="B707" s="37"/>
      <c r="C707" s="37"/>
      <c r="D707" s="37"/>
      <c r="E707" s="37"/>
      <c r="F707" s="37"/>
      <c r="G707" s="37"/>
      <c r="H707" s="37"/>
      <c r="I707" s="37"/>
      <c r="J707" s="37"/>
      <c r="K707" s="37"/>
      <c r="L707" s="37"/>
    </row>
    <row r="708" spans="1:12" ht="15.75" customHeight="1" x14ac:dyDescent="0.2">
      <c r="A708" s="37"/>
      <c r="B708" s="37"/>
      <c r="C708" s="37"/>
      <c r="D708" s="37"/>
      <c r="E708" s="37"/>
      <c r="F708" s="37"/>
      <c r="G708" s="37"/>
      <c r="H708" s="37"/>
      <c r="I708" s="37"/>
      <c r="J708" s="37"/>
      <c r="K708" s="37"/>
      <c r="L708" s="37"/>
    </row>
    <row r="709" spans="1:12" ht="15.75" customHeight="1" x14ac:dyDescent="0.2">
      <c r="A709" s="37"/>
      <c r="B709" s="37"/>
      <c r="C709" s="37"/>
      <c r="D709" s="37"/>
      <c r="E709" s="37"/>
      <c r="F709" s="37"/>
      <c r="G709" s="37"/>
      <c r="H709" s="37"/>
      <c r="I709" s="37"/>
      <c r="J709" s="37"/>
      <c r="K709" s="37"/>
      <c r="L709" s="37"/>
    </row>
    <row r="710" spans="1:12" ht="15.75" customHeight="1" x14ac:dyDescent="0.2">
      <c r="A710" s="37"/>
      <c r="B710" s="37"/>
      <c r="C710" s="37"/>
      <c r="D710" s="37"/>
      <c r="E710" s="37"/>
      <c r="F710" s="37"/>
      <c r="G710" s="37"/>
      <c r="H710" s="37"/>
      <c r="I710" s="37"/>
      <c r="J710" s="37"/>
      <c r="K710" s="37"/>
      <c r="L710" s="37"/>
    </row>
    <row r="711" spans="1:12" ht="15.75" customHeight="1" x14ac:dyDescent="0.2">
      <c r="A711" s="37"/>
      <c r="B711" s="37"/>
      <c r="C711" s="37"/>
      <c r="D711" s="37"/>
      <c r="E711" s="37"/>
      <c r="F711" s="37"/>
      <c r="G711" s="37"/>
      <c r="H711" s="37"/>
      <c r="I711" s="37"/>
      <c r="J711" s="37"/>
      <c r="K711" s="37"/>
      <c r="L711" s="37"/>
    </row>
    <row r="712" spans="1:12" ht="15.75" customHeight="1" x14ac:dyDescent="0.2">
      <c r="A712" s="37"/>
      <c r="B712" s="37"/>
      <c r="C712" s="37"/>
      <c r="D712" s="37"/>
      <c r="E712" s="37"/>
      <c r="F712" s="37"/>
      <c r="G712" s="37"/>
      <c r="H712" s="37"/>
      <c r="I712" s="37"/>
      <c r="J712" s="37"/>
      <c r="K712" s="37"/>
      <c r="L712" s="37"/>
    </row>
    <row r="713" spans="1:12" ht="15.75" customHeight="1" x14ac:dyDescent="0.2">
      <c r="A713" s="37"/>
      <c r="B713" s="37"/>
      <c r="C713" s="37"/>
      <c r="D713" s="37"/>
      <c r="E713" s="37"/>
      <c r="F713" s="37"/>
      <c r="G713" s="37"/>
      <c r="H713" s="37"/>
      <c r="I713" s="37"/>
      <c r="J713" s="37"/>
      <c r="K713" s="37"/>
      <c r="L713" s="37"/>
    </row>
    <row r="714" spans="1:12" ht="15.75" customHeight="1" x14ac:dyDescent="0.2">
      <c r="A714" s="37"/>
      <c r="B714" s="37"/>
      <c r="C714" s="37"/>
      <c r="D714" s="37"/>
      <c r="E714" s="37"/>
      <c r="F714" s="37"/>
      <c r="G714" s="37"/>
      <c r="H714" s="37"/>
      <c r="I714" s="37"/>
      <c r="J714" s="37"/>
      <c r="K714" s="37"/>
      <c r="L714" s="37"/>
    </row>
    <row r="715" spans="1:12" ht="15.75" customHeight="1" x14ac:dyDescent="0.2">
      <c r="A715" s="37"/>
      <c r="B715" s="37"/>
      <c r="C715" s="37"/>
      <c r="D715" s="37"/>
      <c r="E715" s="37"/>
      <c r="F715" s="37"/>
      <c r="G715" s="37"/>
      <c r="H715" s="37"/>
      <c r="I715" s="37"/>
      <c r="J715" s="37"/>
      <c r="K715" s="37"/>
      <c r="L715" s="37"/>
    </row>
    <row r="716" spans="1:12" ht="15.75" customHeight="1" x14ac:dyDescent="0.2">
      <c r="A716" s="37"/>
      <c r="B716" s="37"/>
      <c r="C716" s="37"/>
      <c r="D716" s="37"/>
      <c r="E716" s="37"/>
      <c r="F716" s="37"/>
      <c r="G716" s="37"/>
      <c r="H716" s="37"/>
      <c r="I716" s="37"/>
      <c r="J716" s="37"/>
      <c r="K716" s="37"/>
      <c r="L716" s="37"/>
    </row>
    <row r="717" spans="1:12" ht="15.75" customHeight="1" x14ac:dyDescent="0.2">
      <c r="A717" s="37"/>
      <c r="B717" s="37"/>
      <c r="C717" s="37"/>
      <c r="D717" s="37"/>
      <c r="E717" s="37"/>
      <c r="F717" s="37"/>
      <c r="G717" s="37"/>
      <c r="H717" s="37"/>
      <c r="I717" s="37"/>
      <c r="J717" s="37"/>
      <c r="K717" s="37"/>
      <c r="L717" s="37"/>
    </row>
    <row r="718" spans="1:12" ht="15.75" customHeight="1" x14ac:dyDescent="0.2">
      <c r="A718" s="37"/>
      <c r="B718" s="37"/>
      <c r="C718" s="37"/>
      <c r="D718" s="37"/>
      <c r="E718" s="37"/>
      <c r="F718" s="37"/>
      <c r="G718" s="37"/>
      <c r="H718" s="37"/>
      <c r="I718" s="37"/>
      <c r="J718" s="37"/>
      <c r="K718" s="37"/>
      <c r="L718" s="37"/>
    </row>
    <row r="719" spans="1:12" ht="15.75" customHeight="1" x14ac:dyDescent="0.2">
      <c r="A719" s="37"/>
      <c r="B719" s="37"/>
      <c r="C719" s="37"/>
      <c r="D719" s="37"/>
      <c r="E719" s="37"/>
      <c r="F719" s="37"/>
      <c r="G719" s="37"/>
      <c r="H719" s="37"/>
      <c r="I719" s="37"/>
      <c r="J719" s="37"/>
      <c r="K719" s="37"/>
      <c r="L719" s="37"/>
    </row>
  </sheetData>
  <mergeCells count="52">
    <mergeCell ref="N27:O27"/>
    <mergeCell ref="Q29:R29"/>
    <mergeCell ref="Q28:R28"/>
    <mergeCell ref="Q31:R31"/>
    <mergeCell ref="D1:H1"/>
    <mergeCell ref="D4:I4"/>
    <mergeCell ref="B6:D6"/>
    <mergeCell ref="B7:D7"/>
    <mergeCell ref="B8:D8"/>
    <mergeCell ref="B29:K29"/>
    <mergeCell ref="B11:D11"/>
    <mergeCell ref="B10:D10"/>
    <mergeCell ref="D5:I5"/>
    <mergeCell ref="B13:D13"/>
    <mergeCell ref="B14:D14"/>
    <mergeCell ref="B15:D15"/>
    <mergeCell ref="G17:I20"/>
    <mergeCell ref="B22:D27"/>
    <mergeCell ref="G22:I27"/>
    <mergeCell ref="H7:H15"/>
    <mergeCell ref="B53:D53"/>
    <mergeCell ref="B16:D16"/>
    <mergeCell ref="B12:D12"/>
    <mergeCell ref="B9:D9"/>
    <mergeCell ref="B21:D21"/>
    <mergeCell ref="B17:D20"/>
    <mergeCell ref="B54:D54"/>
    <mergeCell ref="B55:D55"/>
    <mergeCell ref="B57:K57"/>
    <mergeCell ref="B30:B31"/>
    <mergeCell ref="D50:I50"/>
    <mergeCell ref="D49:I49"/>
    <mergeCell ref="B51:D51"/>
    <mergeCell ref="B52:D52"/>
    <mergeCell ref="C30:K30"/>
    <mergeCell ref="C42:K46"/>
    <mergeCell ref="B107:K107"/>
    <mergeCell ref="B58:K58"/>
    <mergeCell ref="B63:K63"/>
    <mergeCell ref="B64:B65"/>
    <mergeCell ref="C64:K64"/>
    <mergeCell ref="B76:K76"/>
    <mergeCell ref="B77:B78"/>
    <mergeCell ref="C77:K77"/>
    <mergeCell ref="B94:K94"/>
    <mergeCell ref="B95:B96"/>
    <mergeCell ref="C95:K95"/>
    <mergeCell ref="B108:B109"/>
    <mergeCell ref="C108:K108"/>
    <mergeCell ref="B120:K120"/>
    <mergeCell ref="B121:B122"/>
    <mergeCell ref="C121:K121"/>
  </mergeCells>
  <pageMargins left="0.25" right="0.25"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I240"/>
  <sheetViews>
    <sheetView showGridLines="0" workbookViewId="0">
      <selection activeCell="Q7" sqref="Q7"/>
    </sheetView>
  </sheetViews>
  <sheetFormatPr defaultColWidth="9.140625" defaultRowHeight="12.75" x14ac:dyDescent="0.2"/>
  <cols>
    <col min="1" max="1" width="3.7109375" style="1" customWidth="1"/>
    <col min="2" max="11" width="9.140625" style="1"/>
    <col min="12" max="12" width="3.7109375" style="1" customWidth="1"/>
    <col min="13" max="16384" width="9.140625" style="1"/>
  </cols>
  <sheetData>
    <row r="1" spans="1:61" s="2" customFormat="1" ht="16.5" thickBot="1" x14ac:dyDescent="0.3">
      <c r="D1" s="256" t="s">
        <v>132</v>
      </c>
      <c r="E1" s="256"/>
      <c r="F1" s="256"/>
      <c r="G1" s="256"/>
      <c r="H1" s="256"/>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row>
    <row r="2" spans="1:61" ht="15.75" customHeight="1" x14ac:dyDescent="0.2">
      <c r="I2" s="263" t="s">
        <v>133</v>
      </c>
      <c r="J2" s="264"/>
      <c r="K2" s="265"/>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row>
    <row r="3" spans="1:61" ht="15.75" customHeight="1" x14ac:dyDescent="0.2">
      <c r="A3" s="121"/>
      <c r="B3" s="121"/>
      <c r="C3" s="121"/>
      <c r="D3" s="121"/>
      <c r="E3" s="121"/>
      <c r="F3" s="121"/>
      <c r="G3" s="121"/>
      <c r="H3" s="121"/>
      <c r="I3" s="3" t="s">
        <v>134</v>
      </c>
      <c r="J3" s="4">
        <v>1.5349999999999999</v>
      </c>
      <c r="K3" s="5" t="s">
        <v>135</v>
      </c>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row>
    <row r="4" spans="1:61" ht="15.75" customHeight="1" x14ac:dyDescent="0.25">
      <c r="A4" s="121"/>
      <c r="B4" s="121"/>
      <c r="C4" s="121"/>
      <c r="D4" s="121"/>
      <c r="E4" s="121"/>
      <c r="F4" s="121"/>
      <c r="G4" s="121"/>
      <c r="H4" s="121"/>
      <c r="I4" s="3" t="s">
        <v>136</v>
      </c>
      <c r="J4" s="4">
        <v>12.436</v>
      </c>
      <c r="K4" s="5" t="s">
        <v>137</v>
      </c>
      <c r="M4" s="41"/>
      <c r="N4" s="41"/>
      <c r="O4" s="41"/>
      <c r="P4" s="262"/>
      <c r="Q4" s="262"/>
      <c r="R4" s="262"/>
      <c r="S4" s="262"/>
      <c r="T4" s="262"/>
      <c r="U4" s="262"/>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row>
    <row r="5" spans="1:61" ht="15.75" customHeight="1" x14ac:dyDescent="0.25">
      <c r="A5" s="121"/>
      <c r="B5" s="121"/>
      <c r="C5" s="121"/>
      <c r="D5" s="121"/>
      <c r="E5" s="121"/>
      <c r="F5" s="121"/>
      <c r="G5" s="121"/>
      <c r="H5" s="121"/>
      <c r="I5" s="3" t="s">
        <v>138</v>
      </c>
      <c r="J5" s="4">
        <v>0.39</v>
      </c>
      <c r="K5" s="5" t="s">
        <v>137</v>
      </c>
      <c r="M5" s="42"/>
      <c r="N5" s="43"/>
      <c r="O5" s="42"/>
      <c r="P5" s="42"/>
      <c r="Q5" s="43"/>
      <c r="R5" s="42"/>
      <c r="S5" s="42"/>
      <c r="T5" s="43"/>
      <c r="U5" s="42"/>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61" ht="15.75" customHeight="1" x14ac:dyDescent="0.25">
      <c r="A6" s="121"/>
      <c r="B6" s="121"/>
      <c r="C6" s="121"/>
      <c r="D6" s="121"/>
      <c r="E6" s="121"/>
      <c r="F6" s="121"/>
      <c r="G6" s="121"/>
      <c r="H6" s="121"/>
      <c r="I6" s="3" t="s">
        <v>139</v>
      </c>
      <c r="J6" s="4">
        <v>2.94</v>
      </c>
      <c r="K6" s="5" t="s">
        <v>140</v>
      </c>
      <c r="M6" s="42"/>
      <c r="N6" s="43"/>
      <c r="O6" s="42"/>
      <c r="P6" s="42"/>
      <c r="Q6" s="43"/>
      <c r="R6" s="42"/>
      <c r="S6" s="42"/>
      <c r="T6" s="43"/>
      <c r="U6" s="42"/>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row>
    <row r="7" spans="1:61" ht="15.75" customHeight="1" x14ac:dyDescent="0.25">
      <c r="A7" s="121"/>
      <c r="B7" s="121"/>
      <c r="C7" s="121"/>
      <c r="D7" s="121"/>
      <c r="E7" s="121"/>
      <c r="F7" s="121"/>
      <c r="G7" s="121"/>
      <c r="H7" s="121"/>
      <c r="I7" s="3" t="s">
        <v>141</v>
      </c>
      <c r="J7" s="4">
        <v>0.29099999999999998</v>
      </c>
      <c r="K7" s="5" t="s">
        <v>140</v>
      </c>
      <c r="M7" s="42"/>
      <c r="N7" s="43"/>
      <c r="O7" s="267" t="s">
        <v>142</v>
      </c>
      <c r="P7" s="267"/>
      <c r="Q7" s="108">
        <f>'Design Loads'!Q57</f>
        <v>21.053326080415989</v>
      </c>
      <c r="R7" s="42"/>
      <c r="S7" s="42"/>
      <c r="T7" s="43"/>
      <c r="U7" s="42"/>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row>
    <row r="8" spans="1:61" ht="15.75" customHeight="1" thickBot="1" x14ac:dyDescent="0.25">
      <c r="A8" s="121"/>
      <c r="B8" s="121"/>
      <c r="C8" s="121"/>
      <c r="D8" s="121"/>
      <c r="E8" s="121"/>
      <c r="F8" s="121"/>
      <c r="G8" s="121"/>
      <c r="H8" s="121"/>
      <c r="I8" s="6" t="s">
        <v>143</v>
      </c>
      <c r="J8" s="7">
        <v>3.2000000000000001E-2</v>
      </c>
      <c r="K8" s="8" t="s">
        <v>137</v>
      </c>
      <c r="M8" s="39"/>
      <c r="N8" s="39"/>
      <c r="O8" s="267" t="s">
        <v>144</v>
      </c>
      <c r="P8" s="267"/>
      <c r="Q8" s="109">
        <v>60</v>
      </c>
      <c r="R8" s="42"/>
      <c r="S8" s="42"/>
      <c r="T8" s="43"/>
      <c r="U8" s="42"/>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row>
    <row r="9" spans="1:61" ht="15.75" customHeight="1" x14ac:dyDescent="0.2">
      <c r="A9" s="121"/>
      <c r="B9" s="121"/>
      <c r="C9" s="121"/>
      <c r="D9" s="121"/>
      <c r="E9" s="121"/>
      <c r="F9" s="121"/>
      <c r="G9" s="121"/>
      <c r="H9" s="121"/>
      <c r="M9" s="42"/>
      <c r="N9" s="43"/>
      <c r="O9" s="42"/>
      <c r="P9" s="42"/>
      <c r="Q9" s="43"/>
      <c r="R9" s="42"/>
      <c r="S9" s="42"/>
      <c r="T9" s="43"/>
      <c r="U9" s="42"/>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row>
    <row r="10" spans="1:61" ht="15.75" customHeight="1" x14ac:dyDescent="0.2">
      <c r="A10" s="121"/>
      <c r="B10" s="121"/>
      <c r="C10" s="121"/>
      <c r="D10" s="121"/>
      <c r="E10" s="121"/>
      <c r="F10" s="121"/>
      <c r="G10" s="121"/>
      <c r="H10" s="121"/>
      <c r="I10" s="1" t="s">
        <v>145</v>
      </c>
      <c r="J10" s="108">
        <f>MIN(SQRT((($P16*$J$7*144*8)/(R16)/'Design Loads'!Q57)),((((384*144*10000000*$J$5)/($Q8*5*R16))/'Design Loads'!Q57)^(1/3)))</f>
        <v>159.3903109807305</v>
      </c>
      <c r="M10" s="42"/>
      <c r="N10" s="39"/>
      <c r="O10" s="42"/>
      <c r="P10" s="42"/>
      <c r="Q10" s="43"/>
      <c r="R10" s="42"/>
      <c r="S10" s="42"/>
      <c r="T10" s="43"/>
      <c r="U10" s="42"/>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row>
    <row r="11" spans="1:61" ht="15.75" customHeight="1" x14ac:dyDescent="0.2">
      <c r="A11" s="121"/>
      <c r="B11" s="121"/>
      <c r="C11" s="121"/>
      <c r="D11" s="121"/>
      <c r="E11" s="121"/>
      <c r="F11" s="121"/>
      <c r="G11" s="121"/>
      <c r="H11" s="121"/>
      <c r="I11" s="121"/>
      <c r="J11" s="121"/>
      <c r="K11" s="121"/>
      <c r="M11" s="44"/>
      <c r="N11" s="44"/>
      <c r="O11" s="44"/>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row>
    <row r="12" spans="1:61" ht="15.75" customHeight="1" x14ac:dyDescent="0.2">
      <c r="A12" s="121"/>
      <c r="B12" s="121"/>
      <c r="C12" s="121"/>
      <c r="D12" s="121"/>
      <c r="E12" s="121"/>
      <c r="F12" s="121"/>
      <c r="G12" s="121"/>
      <c r="H12" s="121"/>
      <c r="I12" s="121"/>
      <c r="J12" s="121"/>
      <c r="K12" s="121"/>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row>
    <row r="13" spans="1:61" ht="15.75" customHeight="1" thickBot="1" x14ac:dyDescent="0.25">
      <c r="A13" s="121"/>
      <c r="B13" s="52" t="s">
        <v>146</v>
      </c>
      <c r="C13" s="266" t="s">
        <v>147</v>
      </c>
      <c r="D13" s="266"/>
      <c r="E13" s="266"/>
      <c r="F13" s="266"/>
      <c r="G13" s="266"/>
      <c r="H13" s="266"/>
      <c r="I13" s="266"/>
      <c r="J13" s="266"/>
      <c r="K13" s="266"/>
      <c r="M13" s="39"/>
      <c r="N13" s="259" t="s">
        <v>148</v>
      </c>
      <c r="O13" s="259"/>
      <c r="P13" s="259"/>
      <c r="Q13" s="259"/>
      <c r="R13" s="259"/>
      <c r="S13" s="259"/>
      <c r="T13" s="259"/>
      <c r="U13" s="259"/>
      <c r="V13" s="259"/>
      <c r="W13" s="25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row>
    <row r="14" spans="1:61" ht="15.75" customHeight="1" x14ac:dyDescent="0.2">
      <c r="A14" s="121"/>
      <c r="B14" s="257" t="s">
        <v>149</v>
      </c>
      <c r="C14" s="226" t="s">
        <v>150</v>
      </c>
      <c r="D14" s="227"/>
      <c r="E14" s="227"/>
      <c r="F14" s="227"/>
      <c r="G14" s="227"/>
      <c r="H14" s="227"/>
      <c r="I14" s="228"/>
      <c r="J14" s="226" t="s">
        <v>151</v>
      </c>
      <c r="K14" s="228"/>
      <c r="M14" s="39"/>
      <c r="N14" s="260" t="s">
        <v>149</v>
      </c>
      <c r="O14" s="259" t="s">
        <v>152</v>
      </c>
      <c r="P14" s="259"/>
      <c r="Q14" s="45" t="s">
        <v>153</v>
      </c>
      <c r="R14" s="259" t="s">
        <v>154</v>
      </c>
      <c r="S14" s="259"/>
      <c r="T14" s="259"/>
      <c r="U14" s="259"/>
      <c r="V14" s="259"/>
      <c r="W14" s="259"/>
      <c r="X14" s="25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row>
    <row r="15" spans="1:61" ht="15.75" customHeight="1" thickBot="1" x14ac:dyDescent="0.25">
      <c r="A15" s="121"/>
      <c r="B15" s="258"/>
      <c r="C15" s="27" t="s">
        <v>155</v>
      </c>
      <c r="D15" s="22">
        <v>15</v>
      </c>
      <c r="E15" s="22">
        <v>30</v>
      </c>
      <c r="F15" s="22">
        <v>45</v>
      </c>
      <c r="G15" s="22">
        <v>60</v>
      </c>
      <c r="H15" s="22">
        <v>75</v>
      </c>
      <c r="I15" s="23" t="s">
        <v>156</v>
      </c>
      <c r="J15" s="27" t="s">
        <v>157</v>
      </c>
      <c r="K15" s="23" t="s">
        <v>156</v>
      </c>
      <c r="M15" s="39"/>
      <c r="N15" s="260"/>
      <c r="O15" s="122" t="s">
        <v>158</v>
      </c>
      <c r="P15" s="122" t="s">
        <v>159</v>
      </c>
      <c r="Q15" s="122" t="s">
        <v>160</v>
      </c>
      <c r="R15" s="122" t="s">
        <v>155</v>
      </c>
      <c r="S15" s="122">
        <v>15</v>
      </c>
      <c r="T15" s="122">
        <v>30</v>
      </c>
      <c r="U15" s="122">
        <v>45</v>
      </c>
      <c r="V15" s="122">
        <v>60</v>
      </c>
      <c r="W15" s="122">
        <v>75</v>
      </c>
      <c r="X15" s="122" t="s">
        <v>156</v>
      </c>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row>
    <row r="16" spans="1:61" ht="15.75" customHeight="1" x14ac:dyDescent="0.2">
      <c r="A16" s="121"/>
      <c r="B16" s="24">
        <v>96</v>
      </c>
      <c r="C16" s="62">
        <f>+MIN(($P16*$J$7*144*8)/($B16^2*R16),($Q16*384*144*10000000*$J$5)/(5*R16*$B16^4))</f>
        <v>86.278462998102455</v>
      </c>
      <c r="D16" s="65">
        <f>+MIN(($O16*8*144*$J$6)/($B16^2*S16*SIN(D$15*3.1416/180)+($P16*8*144*$J$7)/($B16^2*S16*COS(D$15*3.1416/180))),($Q16*384*144*10000000*$J$5)/(5*S16*COS(D$15*3.1416/180)*$B16^4))</f>
        <v>99.345935345045064</v>
      </c>
      <c r="E16" s="65">
        <f t="shared" ref="E16:H31" si="0">+MIN(($O16*8*144*$J$6)/($B16^2*T16*SIN(E$15*3.1416/180)+($P16*8*144*$J$7)/($B16^2*T16*COS(E$15*3.1416/180))),($Q16*384*144*10000000*$J$5)/(5*T16*COS(E$15*3.1416/180)*$B16^4))</f>
        <v>117.71579054603538</v>
      </c>
      <c r="F16" s="65">
        <f t="shared" si="0"/>
        <v>165.33102586753904</v>
      </c>
      <c r="G16" s="65">
        <f t="shared" si="0"/>
        <v>293.85296426644862</v>
      </c>
      <c r="H16" s="65">
        <f t="shared" si="0"/>
        <v>433.48550280419443</v>
      </c>
      <c r="I16" s="68">
        <f>+MIN(($O16*$J$6*8*144)/($B16^2*X16),($Q16*384*144*10000000*$J$4)/(5*X16*$B16^4))</f>
        <v>922.0719921875002</v>
      </c>
      <c r="J16" s="69">
        <f>+MIN(C16:H16)</f>
        <v>86.278462998102455</v>
      </c>
      <c r="K16" s="48">
        <f>+I16</f>
        <v>922.0719921875002</v>
      </c>
      <c r="M16" s="39"/>
      <c r="N16" s="122">
        <v>96</v>
      </c>
      <c r="O16" s="46">
        <f>+IF($N16/0.682&lt;22,15000,IF($N16/0.682&lt;119,(16.7-(0.073*($N16/0.682)))*1000,87000000/($N16/0.682)^2))</f>
        <v>4390.8190104166679</v>
      </c>
      <c r="P16" s="46">
        <v>20000</v>
      </c>
      <c r="Q16" s="47">
        <f>+N16/60</f>
        <v>1.6</v>
      </c>
      <c r="R16" s="47">
        <v>8.4320000000000004</v>
      </c>
      <c r="S16" s="47">
        <v>8.4670000000000005</v>
      </c>
      <c r="T16" s="47">
        <v>7.97</v>
      </c>
      <c r="U16" s="47">
        <v>6.95</v>
      </c>
      <c r="V16" s="47">
        <v>5.53</v>
      </c>
      <c r="W16" s="47">
        <v>3.77</v>
      </c>
      <c r="X16" s="47">
        <v>1.75</v>
      </c>
      <c r="Y16" s="38"/>
      <c r="Z16" s="38"/>
      <c r="AA16" s="38"/>
      <c r="AB16" s="38"/>
      <c r="AC16" s="38"/>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row>
    <row r="17" spans="1:61" ht="15.75" customHeight="1" x14ac:dyDescent="0.2">
      <c r="A17" s="121"/>
      <c r="B17" s="25">
        <f t="shared" ref="B17:B40" si="1">+B16+6</f>
        <v>102</v>
      </c>
      <c r="C17" s="63">
        <f>+MIN(($P17*$J$7*144*8)/($B17^2*R17),($Q17*384*144*10000000*$J$5)/(5*R17*$B17^4))</f>
        <v>76.426596981018093</v>
      </c>
      <c r="D17" s="13">
        <f t="shared" ref="D17:H40" si="2">+MIN(($O17*8*144*$J$6)/($B17^2*S17*SIN(D$15*3.1416/180)+($P17*8*144*$J$7)/($B17^2*S17*COS(D$15*3.1416/180))),($Q17*384*144*10000000*$J$5)/(5*S17*COS(D$15*3.1416/180)*$B17^4))</f>
        <v>82.825351348118176</v>
      </c>
      <c r="E17" s="13">
        <f t="shared" si="0"/>
        <v>98.140418904246062</v>
      </c>
      <c r="F17" s="13">
        <f t="shared" si="0"/>
        <v>137.83754975645022</v>
      </c>
      <c r="G17" s="13">
        <f t="shared" si="0"/>
        <v>244.98712428971575</v>
      </c>
      <c r="H17" s="13">
        <f t="shared" si="0"/>
        <v>341.74021241635609</v>
      </c>
      <c r="I17" s="13">
        <f t="shared" ref="I17:I40" si="3">+MIN(($O17*$J$6*8*144)/($B17^2*X17),($Q17*384*144*10000000*$J$4)/(5*X17*$B17^4))</f>
        <v>723.51755941619467</v>
      </c>
      <c r="J17" s="66">
        <f t="shared" ref="J17:J40" si="4">+MIN(C17:H17)</f>
        <v>76.426596981018093</v>
      </c>
      <c r="K17" s="49">
        <f t="shared" ref="K17:K40" si="5">+I17</f>
        <v>723.51755941619467</v>
      </c>
      <c r="M17" s="39"/>
      <c r="N17" s="122">
        <f t="shared" ref="N17:N40" si="6">+N16+6</f>
        <v>102</v>
      </c>
      <c r="O17" s="46">
        <f t="shared" ref="O17:O40" si="7">+IF($N17/0.682&lt;22,15000,IF($N17/0.682&lt;119,(16.7-(0.073*($N17/0.682)))*1000,87000000/($N17/0.682)^2))</f>
        <v>3889.4452133794694</v>
      </c>
      <c r="P17" s="46">
        <v>20000</v>
      </c>
      <c r="Q17" s="47">
        <f t="shared" ref="Q17:Q40" si="8">+N17/60</f>
        <v>1.7</v>
      </c>
      <c r="R17" s="47">
        <v>8.4320000000000004</v>
      </c>
      <c r="S17" s="47">
        <v>8.4670000000000005</v>
      </c>
      <c r="T17" s="47">
        <v>7.97</v>
      </c>
      <c r="U17" s="47">
        <v>6.95</v>
      </c>
      <c r="V17" s="47">
        <v>5.53</v>
      </c>
      <c r="W17" s="47">
        <v>3.77</v>
      </c>
      <c r="X17" s="47">
        <v>1.75</v>
      </c>
      <c r="Y17" s="38"/>
      <c r="Z17" s="38"/>
      <c r="AA17" s="38"/>
      <c r="AB17" s="38"/>
      <c r="AC17" s="38"/>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row>
    <row r="18" spans="1:61" ht="15.75" customHeight="1" x14ac:dyDescent="0.2">
      <c r="A18" s="121"/>
      <c r="B18" s="25">
        <f t="shared" si="1"/>
        <v>108</v>
      </c>
      <c r="C18" s="63">
        <f t="shared" ref="C18:C40" si="9">+MIN(($P18*$J$7*144*8)/($B18^2*R18),($Q18*384*144*10000000*$J$5)/(5*R18*$B18^4))</f>
        <v>67.676081450766944</v>
      </c>
      <c r="D18" s="13">
        <f t="shared" si="2"/>
        <v>69.773825647000109</v>
      </c>
      <c r="E18" s="13">
        <f t="shared" si="0"/>
        <v>82.675562084458306</v>
      </c>
      <c r="F18" s="13">
        <f t="shared" si="0"/>
        <v>116.11726370943757</v>
      </c>
      <c r="G18" s="13">
        <f t="shared" si="0"/>
        <v>206.38232881264977</v>
      </c>
      <c r="H18" s="13">
        <f t="shared" si="0"/>
        <v>272.85079626482116</v>
      </c>
      <c r="I18" s="13">
        <f t="shared" si="3"/>
        <v>575.64500533455282</v>
      </c>
      <c r="J18" s="66">
        <f t="shared" si="4"/>
        <v>67.676081450766944</v>
      </c>
      <c r="K18" s="49">
        <f t="shared" si="5"/>
        <v>575.64500533455282</v>
      </c>
      <c r="M18" s="39"/>
      <c r="N18" s="122">
        <f t="shared" si="6"/>
        <v>108</v>
      </c>
      <c r="O18" s="46">
        <f t="shared" si="7"/>
        <v>3469.2890946502066</v>
      </c>
      <c r="P18" s="46">
        <v>20000</v>
      </c>
      <c r="Q18" s="47">
        <f t="shared" si="8"/>
        <v>1.8</v>
      </c>
      <c r="R18" s="47">
        <v>8.4320000000000004</v>
      </c>
      <c r="S18" s="47">
        <v>8.4670000000000005</v>
      </c>
      <c r="T18" s="47">
        <v>7.97</v>
      </c>
      <c r="U18" s="47">
        <v>6.95</v>
      </c>
      <c r="V18" s="47">
        <v>5.53</v>
      </c>
      <c r="W18" s="47">
        <v>3.77</v>
      </c>
      <c r="X18" s="47">
        <v>1.75</v>
      </c>
      <c r="Y18" s="38"/>
      <c r="Z18" s="38"/>
      <c r="AA18" s="38"/>
      <c r="AB18" s="38"/>
      <c r="AC18" s="38"/>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row>
    <row r="19" spans="1:61" ht="15.75" customHeight="1" x14ac:dyDescent="0.2">
      <c r="A19" s="121"/>
      <c r="B19" s="25">
        <f t="shared" si="1"/>
        <v>114</v>
      </c>
      <c r="C19" s="63">
        <f t="shared" si="9"/>
        <v>57.542922732303957</v>
      </c>
      <c r="D19" s="13">
        <f t="shared" si="2"/>
        <v>59.326571099767392</v>
      </c>
      <c r="E19" s="13">
        <f t="shared" si="0"/>
        <v>70.296526910126971</v>
      </c>
      <c r="F19" s="13">
        <f t="shared" si="0"/>
        <v>98.730993140900992</v>
      </c>
      <c r="G19" s="13">
        <f t="shared" si="0"/>
        <v>168.93204424586898</v>
      </c>
      <c r="H19" s="13">
        <f t="shared" si="0"/>
        <v>220.37270814865724</v>
      </c>
      <c r="I19" s="13">
        <f t="shared" si="3"/>
        <v>463.69280530382667</v>
      </c>
      <c r="J19" s="66">
        <f t="shared" si="4"/>
        <v>57.542922732303957</v>
      </c>
      <c r="K19" s="49">
        <f t="shared" si="5"/>
        <v>463.69280530382667</v>
      </c>
      <c r="M19" s="39"/>
      <c r="N19" s="122">
        <f t="shared" si="6"/>
        <v>114</v>
      </c>
      <c r="O19" s="46">
        <f t="shared" si="7"/>
        <v>3113.7109879963064</v>
      </c>
      <c r="P19" s="46">
        <v>20000</v>
      </c>
      <c r="Q19" s="47">
        <f t="shared" si="8"/>
        <v>1.9</v>
      </c>
      <c r="R19" s="47">
        <v>8.4320000000000004</v>
      </c>
      <c r="S19" s="47">
        <v>8.4670000000000005</v>
      </c>
      <c r="T19" s="47">
        <v>7.97</v>
      </c>
      <c r="U19" s="47">
        <v>6.95</v>
      </c>
      <c r="V19" s="47">
        <v>5.53</v>
      </c>
      <c r="W19" s="47">
        <v>3.77</v>
      </c>
      <c r="X19" s="47">
        <v>1.75</v>
      </c>
      <c r="Y19" s="38"/>
      <c r="Z19" s="38"/>
      <c r="AA19" s="38"/>
      <c r="AB19" s="38"/>
      <c r="AC19" s="38"/>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row>
    <row r="20" spans="1:61" ht="15.75" customHeight="1" x14ac:dyDescent="0.2">
      <c r="A20" s="121"/>
      <c r="B20" s="25">
        <f t="shared" si="1"/>
        <v>120</v>
      </c>
      <c r="C20" s="63">
        <f t="shared" si="9"/>
        <v>49.335863377609108</v>
      </c>
      <c r="D20" s="13">
        <f t="shared" si="2"/>
        <v>50.86511889666307</v>
      </c>
      <c r="E20" s="13">
        <f t="shared" si="0"/>
        <v>60.270484759570117</v>
      </c>
      <c r="F20" s="13">
        <f t="shared" si="0"/>
        <v>84.649485244179985</v>
      </c>
      <c r="G20" s="13">
        <f t="shared" si="0"/>
        <v>137.67253370530395</v>
      </c>
      <c r="H20" s="13">
        <f t="shared" si="0"/>
        <v>179.86357358761143</v>
      </c>
      <c r="I20" s="13">
        <f t="shared" si="3"/>
        <v>377.68068800000003</v>
      </c>
      <c r="J20" s="66">
        <f t="shared" si="4"/>
        <v>49.335863377609108</v>
      </c>
      <c r="K20" s="49">
        <f t="shared" si="5"/>
        <v>377.68068800000003</v>
      </c>
      <c r="M20" s="39"/>
      <c r="N20" s="122">
        <f t="shared" si="6"/>
        <v>120</v>
      </c>
      <c r="O20" s="46">
        <f t="shared" si="7"/>
        <v>2810.124166666667</v>
      </c>
      <c r="P20" s="46">
        <v>20000</v>
      </c>
      <c r="Q20" s="47">
        <f t="shared" si="8"/>
        <v>2</v>
      </c>
      <c r="R20" s="47">
        <v>8.4320000000000004</v>
      </c>
      <c r="S20" s="47">
        <v>8.4670000000000005</v>
      </c>
      <c r="T20" s="47">
        <v>7.97</v>
      </c>
      <c r="U20" s="47">
        <v>6.95</v>
      </c>
      <c r="V20" s="47">
        <v>5.53</v>
      </c>
      <c r="W20" s="47">
        <v>3.77</v>
      </c>
      <c r="X20" s="47">
        <v>1.75</v>
      </c>
      <c r="Y20" s="38"/>
      <c r="Z20" s="38"/>
      <c r="AA20" s="38"/>
      <c r="AB20" s="38"/>
      <c r="AC20" s="38"/>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row>
    <row r="21" spans="1:61" ht="15.75" customHeight="1" x14ac:dyDescent="0.2">
      <c r="A21" s="121"/>
      <c r="B21" s="25">
        <f t="shared" si="1"/>
        <v>126</v>
      </c>
      <c r="C21" s="63">
        <f t="shared" si="9"/>
        <v>42.618173741590844</v>
      </c>
      <c r="D21" s="13">
        <f t="shared" si="2"/>
        <v>43.939202156711438</v>
      </c>
      <c r="E21" s="13">
        <f t="shared" si="0"/>
        <v>52.063910817034973</v>
      </c>
      <c r="F21" s="13">
        <f t="shared" si="0"/>
        <v>73.123408050258064</v>
      </c>
      <c r="G21" s="13">
        <f t="shared" si="0"/>
        <v>113.31246946619495</v>
      </c>
      <c r="H21" s="13">
        <f t="shared" si="0"/>
        <v>148.21117083728905</v>
      </c>
      <c r="I21" s="13">
        <f t="shared" si="3"/>
        <v>310.71883669870061</v>
      </c>
      <c r="J21" s="66">
        <f t="shared" si="4"/>
        <v>42.618173741590844</v>
      </c>
      <c r="K21" s="49">
        <f t="shared" si="5"/>
        <v>310.71883669870061</v>
      </c>
      <c r="M21" s="39"/>
      <c r="N21" s="122">
        <f t="shared" si="6"/>
        <v>126</v>
      </c>
      <c r="O21" s="46">
        <f t="shared" si="7"/>
        <v>2548.8654572940286</v>
      </c>
      <c r="P21" s="46">
        <v>20000</v>
      </c>
      <c r="Q21" s="47">
        <f t="shared" si="8"/>
        <v>2.1</v>
      </c>
      <c r="R21" s="47">
        <v>8.4320000000000004</v>
      </c>
      <c r="S21" s="47">
        <v>8.4670000000000005</v>
      </c>
      <c r="T21" s="47">
        <v>7.97</v>
      </c>
      <c r="U21" s="47">
        <v>6.95</v>
      </c>
      <c r="V21" s="47">
        <v>5.53</v>
      </c>
      <c r="W21" s="47">
        <v>3.77</v>
      </c>
      <c r="X21" s="47">
        <v>1.75</v>
      </c>
      <c r="Y21" s="38"/>
      <c r="Z21" s="38"/>
      <c r="AA21" s="38"/>
      <c r="AB21" s="38"/>
      <c r="AC21" s="38"/>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row>
    <row r="22" spans="1:61" ht="15.75" customHeight="1" x14ac:dyDescent="0.2">
      <c r="A22" s="121"/>
      <c r="B22" s="25">
        <f t="shared" si="1"/>
        <v>132</v>
      </c>
      <c r="C22" s="63">
        <f t="shared" si="9"/>
        <v>37.066764370855822</v>
      </c>
      <c r="D22" s="13">
        <f t="shared" si="2"/>
        <v>38.215716676681495</v>
      </c>
      <c r="E22" s="13">
        <f t="shared" si="0"/>
        <v>45.282107257378001</v>
      </c>
      <c r="F22" s="13">
        <f t="shared" si="0"/>
        <v>63.598411152652126</v>
      </c>
      <c r="G22" s="13">
        <f t="shared" si="0"/>
        <v>94.104852807341899</v>
      </c>
      <c r="H22" s="13">
        <f t="shared" si="0"/>
        <v>123.20141284419076</v>
      </c>
      <c r="I22" s="13">
        <f t="shared" si="3"/>
        <v>257.96099173553722</v>
      </c>
      <c r="J22" s="66">
        <f t="shared" si="4"/>
        <v>37.066764370855822</v>
      </c>
      <c r="K22" s="49">
        <f t="shared" si="5"/>
        <v>257.96099173553722</v>
      </c>
      <c r="M22" s="39"/>
      <c r="N22" s="122">
        <f t="shared" si="6"/>
        <v>132</v>
      </c>
      <c r="O22" s="46">
        <f t="shared" si="7"/>
        <v>2322.416666666667</v>
      </c>
      <c r="P22" s="46">
        <v>20000</v>
      </c>
      <c r="Q22" s="47">
        <f t="shared" si="8"/>
        <v>2.2000000000000002</v>
      </c>
      <c r="R22" s="47">
        <v>8.4320000000000004</v>
      </c>
      <c r="S22" s="47">
        <v>8.4670000000000005</v>
      </c>
      <c r="T22" s="47">
        <v>7.97</v>
      </c>
      <c r="U22" s="47">
        <v>6.95</v>
      </c>
      <c r="V22" s="47">
        <v>5.53</v>
      </c>
      <c r="W22" s="47">
        <v>3.77</v>
      </c>
      <c r="X22" s="47">
        <v>1.75</v>
      </c>
      <c r="Y22" s="38"/>
      <c r="Z22" s="38"/>
      <c r="AA22" s="38"/>
      <c r="AB22" s="38"/>
      <c r="AC22" s="38"/>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row>
    <row r="23" spans="1:61" ht="15.75" customHeight="1" x14ac:dyDescent="0.2">
      <c r="A23" s="121"/>
      <c r="B23" s="25">
        <f t="shared" si="1"/>
        <v>138</v>
      </c>
      <c r="C23" s="63">
        <f t="shared" si="9"/>
        <v>32.439131011824841</v>
      </c>
      <c r="D23" s="13">
        <f t="shared" si="2"/>
        <v>33.444641339139032</v>
      </c>
      <c r="E23" s="13">
        <f t="shared" si="0"/>
        <v>39.628822065962105</v>
      </c>
      <c r="F23" s="13">
        <f t="shared" si="0"/>
        <v>55.658410615060404</v>
      </c>
      <c r="G23" s="13">
        <f t="shared" si="0"/>
        <v>78.79691288934923</v>
      </c>
      <c r="H23" s="13">
        <f t="shared" si="0"/>
        <v>103.2362621030672</v>
      </c>
      <c r="I23" s="13">
        <f t="shared" si="3"/>
        <v>215.94015916180976</v>
      </c>
      <c r="J23" s="66">
        <f t="shared" si="4"/>
        <v>32.439131011824841</v>
      </c>
      <c r="K23" s="49">
        <f t="shared" si="5"/>
        <v>215.94015916180976</v>
      </c>
      <c r="M23" s="39"/>
      <c r="N23" s="122">
        <f t="shared" si="6"/>
        <v>138</v>
      </c>
      <c r="O23" s="46">
        <f t="shared" si="7"/>
        <v>2124.8575929426593</v>
      </c>
      <c r="P23" s="46">
        <v>20000</v>
      </c>
      <c r="Q23" s="47">
        <f t="shared" si="8"/>
        <v>2.2999999999999998</v>
      </c>
      <c r="R23" s="47">
        <v>8.4320000000000004</v>
      </c>
      <c r="S23" s="47">
        <v>8.4670000000000005</v>
      </c>
      <c r="T23" s="47">
        <v>7.97</v>
      </c>
      <c r="U23" s="47">
        <v>6.95</v>
      </c>
      <c r="V23" s="47">
        <v>5.53</v>
      </c>
      <c r="W23" s="47">
        <v>3.77</v>
      </c>
      <c r="X23" s="47">
        <v>1.75</v>
      </c>
      <c r="Y23" s="38"/>
      <c r="Z23" s="38"/>
      <c r="AA23" s="38"/>
      <c r="AB23" s="38"/>
      <c r="AC23" s="38"/>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row>
    <row r="24" spans="1:61" ht="15.75" customHeight="1" x14ac:dyDescent="0.2">
      <c r="A24" s="121"/>
      <c r="B24" s="25">
        <f t="shared" si="1"/>
        <v>144</v>
      </c>
      <c r="C24" s="63">
        <f t="shared" si="9"/>
        <v>28.550846862042306</v>
      </c>
      <c r="D24" s="13">
        <f t="shared" si="2"/>
        <v>29.435832694828164</v>
      </c>
      <c r="E24" s="13">
        <f t="shared" si="0"/>
        <v>34.878752754380855</v>
      </c>
      <c r="F24" s="13">
        <f t="shared" si="0"/>
        <v>48.98697062741897</v>
      </c>
      <c r="G24" s="13">
        <f t="shared" si="0"/>
        <v>66.476840101788454</v>
      </c>
      <c r="H24" s="13">
        <f t="shared" si="0"/>
        <v>87.146643582957125</v>
      </c>
      <c r="I24" s="13">
        <f t="shared" si="3"/>
        <v>182.13767746913581</v>
      </c>
      <c r="J24" s="66">
        <f t="shared" si="4"/>
        <v>28.550846862042306</v>
      </c>
      <c r="K24" s="49">
        <f t="shared" si="5"/>
        <v>182.13767746913581</v>
      </c>
      <c r="M24" s="39"/>
      <c r="N24" s="122">
        <f t="shared" si="6"/>
        <v>144</v>
      </c>
      <c r="O24" s="46">
        <f t="shared" si="7"/>
        <v>1951.4751157407409</v>
      </c>
      <c r="P24" s="46">
        <v>20000</v>
      </c>
      <c r="Q24" s="47">
        <f t="shared" si="8"/>
        <v>2.4</v>
      </c>
      <c r="R24" s="47">
        <v>8.4320000000000004</v>
      </c>
      <c r="S24" s="47">
        <v>8.4670000000000005</v>
      </c>
      <c r="T24" s="47">
        <v>7.97</v>
      </c>
      <c r="U24" s="47">
        <v>6.95</v>
      </c>
      <c r="V24" s="47">
        <v>5.53</v>
      </c>
      <c r="W24" s="47">
        <v>3.77</v>
      </c>
      <c r="X24" s="47">
        <v>1.75</v>
      </c>
      <c r="Y24" s="38"/>
      <c r="Z24" s="38"/>
      <c r="AA24" s="38"/>
      <c r="AB24" s="38"/>
      <c r="AC24" s="38"/>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row>
    <row r="25" spans="1:61" ht="15.75" customHeight="1" x14ac:dyDescent="0.2">
      <c r="A25" s="121"/>
      <c r="B25" s="25">
        <f t="shared" si="1"/>
        <v>150</v>
      </c>
      <c r="C25" s="63">
        <f t="shared" si="9"/>
        <v>25.259962049335865</v>
      </c>
      <c r="D25" s="13">
        <f t="shared" si="2"/>
        <v>26.042940875091492</v>
      </c>
      <c r="E25" s="13">
        <f t="shared" si="0"/>
        <v>30.858488196899902</v>
      </c>
      <c r="F25" s="13">
        <f t="shared" si="0"/>
        <v>43.340536445020149</v>
      </c>
      <c r="G25" s="13">
        <f t="shared" si="0"/>
        <v>56.471881818178723</v>
      </c>
      <c r="H25" s="13">
        <f t="shared" si="0"/>
        <v>74.066455500360988</v>
      </c>
      <c r="I25" s="13">
        <f t="shared" si="3"/>
        <v>154.69800980480002</v>
      </c>
      <c r="J25" s="66">
        <f t="shared" si="4"/>
        <v>25.259962049335865</v>
      </c>
      <c r="K25" s="49">
        <f t="shared" si="5"/>
        <v>154.69800980480002</v>
      </c>
      <c r="M25" s="39"/>
      <c r="N25" s="122">
        <f t="shared" si="6"/>
        <v>150</v>
      </c>
      <c r="O25" s="46">
        <f t="shared" si="7"/>
        <v>1798.4794666666669</v>
      </c>
      <c r="P25" s="46">
        <v>20000</v>
      </c>
      <c r="Q25" s="47">
        <f t="shared" si="8"/>
        <v>2.5</v>
      </c>
      <c r="R25" s="47">
        <v>8.4320000000000004</v>
      </c>
      <c r="S25" s="47">
        <v>8.4670000000000005</v>
      </c>
      <c r="T25" s="47">
        <v>7.97</v>
      </c>
      <c r="U25" s="47">
        <v>6.95</v>
      </c>
      <c r="V25" s="47">
        <v>5.53</v>
      </c>
      <c r="W25" s="47">
        <v>3.77</v>
      </c>
      <c r="X25" s="47">
        <v>1.75</v>
      </c>
      <c r="Y25" s="38"/>
      <c r="Z25" s="38"/>
      <c r="AA25" s="38"/>
      <c r="AB25" s="38"/>
      <c r="AC25" s="38"/>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row>
    <row r="26" spans="1:61" ht="15.75" customHeight="1" x14ac:dyDescent="0.2">
      <c r="A26" s="121"/>
      <c r="B26" s="25">
        <f t="shared" si="1"/>
        <v>156</v>
      </c>
      <c r="C26" s="63">
        <f t="shared" si="9"/>
        <v>22.456014282025084</v>
      </c>
      <c r="D26" s="13">
        <f t="shared" si="2"/>
        <v>23.152079607038267</v>
      </c>
      <c r="E26" s="13">
        <f t="shared" si="0"/>
        <v>27.433083641133415</v>
      </c>
      <c r="F26" s="13">
        <f t="shared" si="0"/>
        <v>38.529579082466995</v>
      </c>
      <c r="G26" s="13">
        <f t="shared" si="0"/>
        <v>48.279405196634258</v>
      </c>
      <c r="H26" s="13">
        <f t="shared" si="0"/>
        <v>63.346471483195614</v>
      </c>
      <c r="I26" s="13">
        <f t="shared" si="3"/>
        <v>132.23650712510067</v>
      </c>
      <c r="J26" s="66">
        <f t="shared" si="4"/>
        <v>22.456014282025084</v>
      </c>
      <c r="K26" s="49">
        <f t="shared" si="5"/>
        <v>132.23650712510067</v>
      </c>
      <c r="M26" s="39"/>
      <c r="N26" s="122">
        <f t="shared" si="6"/>
        <v>156</v>
      </c>
      <c r="O26" s="46">
        <f t="shared" si="7"/>
        <v>1662.7953648915191</v>
      </c>
      <c r="P26" s="46">
        <v>20000</v>
      </c>
      <c r="Q26" s="47">
        <f t="shared" si="8"/>
        <v>2.6</v>
      </c>
      <c r="R26" s="47">
        <v>8.4320000000000004</v>
      </c>
      <c r="S26" s="47">
        <v>8.4670000000000005</v>
      </c>
      <c r="T26" s="47">
        <v>7.97</v>
      </c>
      <c r="U26" s="47">
        <v>6.95</v>
      </c>
      <c r="V26" s="47">
        <v>5.53</v>
      </c>
      <c r="W26" s="47">
        <v>3.77</v>
      </c>
      <c r="X26" s="47">
        <v>1.75</v>
      </c>
      <c r="Y26" s="38"/>
      <c r="Z26" s="38"/>
      <c r="AA26" s="38"/>
      <c r="AB26" s="38"/>
      <c r="AC26" s="38"/>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row>
    <row r="27" spans="1:61" ht="15.75" customHeight="1" x14ac:dyDescent="0.2">
      <c r="A27" s="121"/>
      <c r="B27" s="25">
        <f t="shared" si="1"/>
        <v>162</v>
      </c>
      <c r="C27" s="63">
        <f t="shared" si="9"/>
        <v>20.052172281708724</v>
      </c>
      <c r="D27" s="13">
        <f t="shared" si="2"/>
        <v>20.673726117629659</v>
      </c>
      <c r="E27" s="13">
        <f t="shared" si="0"/>
        <v>24.496462839839502</v>
      </c>
      <c r="F27" s="13">
        <f t="shared" si="0"/>
        <v>34.405115173166685</v>
      </c>
      <c r="G27" s="13">
        <f t="shared" si="0"/>
        <v>41.519510956555379</v>
      </c>
      <c r="H27" s="13">
        <f t="shared" si="0"/>
        <v>54.494675983172741</v>
      </c>
      <c r="I27" s="13">
        <f t="shared" si="3"/>
        <v>113.70765537472646</v>
      </c>
      <c r="J27" s="66">
        <f t="shared" si="4"/>
        <v>20.052172281708724</v>
      </c>
      <c r="K27" s="49">
        <f t="shared" si="5"/>
        <v>113.70765537472646</v>
      </c>
      <c r="M27" s="39"/>
      <c r="N27" s="122">
        <f t="shared" si="6"/>
        <v>162</v>
      </c>
      <c r="O27" s="46">
        <f t="shared" si="7"/>
        <v>1541.9062642889805</v>
      </c>
      <c r="P27" s="46">
        <v>20000</v>
      </c>
      <c r="Q27" s="47">
        <f t="shared" si="8"/>
        <v>2.7</v>
      </c>
      <c r="R27" s="47">
        <v>8.4320000000000004</v>
      </c>
      <c r="S27" s="47">
        <v>8.4670000000000005</v>
      </c>
      <c r="T27" s="47">
        <v>7.97</v>
      </c>
      <c r="U27" s="47">
        <v>6.95</v>
      </c>
      <c r="V27" s="47">
        <v>5.53</v>
      </c>
      <c r="W27" s="47">
        <v>3.77</v>
      </c>
      <c r="X27" s="47">
        <v>1.75</v>
      </c>
      <c r="Y27" s="38"/>
      <c r="Z27" s="38"/>
      <c r="AA27" s="38"/>
      <c r="AB27" s="38"/>
      <c r="AC27" s="38"/>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row>
    <row r="28" spans="1:61" ht="15.75" customHeight="1" x14ac:dyDescent="0.2">
      <c r="A28" s="121"/>
      <c r="B28" s="25">
        <f t="shared" si="1"/>
        <v>168</v>
      </c>
      <c r="C28" s="63">
        <f t="shared" si="9"/>
        <v>17.97954204723364</v>
      </c>
      <c r="D28" s="13">
        <f t="shared" si="2"/>
        <v>18.536850909862636</v>
      </c>
      <c r="E28" s="13">
        <f t="shared" si="0"/>
        <v>21.96446237593663</v>
      </c>
      <c r="F28" s="13">
        <f t="shared" si="0"/>
        <v>30.848937771202614</v>
      </c>
      <c r="G28" s="13">
        <f t="shared" si="0"/>
        <v>35.901976192840046</v>
      </c>
      <c r="H28" s="13">
        <f t="shared" si="0"/>
        <v>47.134367006179382</v>
      </c>
      <c r="I28" s="13">
        <f t="shared" si="3"/>
        <v>98.313381924198268</v>
      </c>
      <c r="J28" s="66">
        <f t="shared" si="4"/>
        <v>17.97954204723364</v>
      </c>
      <c r="K28" s="49">
        <f t="shared" si="5"/>
        <v>98.313381924198268</v>
      </c>
      <c r="M28" s="39"/>
      <c r="N28" s="122">
        <f t="shared" si="6"/>
        <v>168</v>
      </c>
      <c r="O28" s="46">
        <f t="shared" si="7"/>
        <v>1433.7368197278913</v>
      </c>
      <c r="P28" s="46">
        <v>20000</v>
      </c>
      <c r="Q28" s="47">
        <f t="shared" si="8"/>
        <v>2.8</v>
      </c>
      <c r="R28" s="47">
        <v>8.4320000000000004</v>
      </c>
      <c r="S28" s="47">
        <v>8.4670000000000005</v>
      </c>
      <c r="T28" s="47">
        <v>7.97</v>
      </c>
      <c r="U28" s="47">
        <v>6.95</v>
      </c>
      <c r="V28" s="47">
        <v>5.53</v>
      </c>
      <c r="W28" s="47">
        <v>3.77</v>
      </c>
      <c r="X28" s="47">
        <v>1.75</v>
      </c>
      <c r="Y28" s="38"/>
      <c r="Z28" s="38"/>
      <c r="AA28" s="38"/>
      <c r="AB28" s="38"/>
      <c r="AC28" s="38"/>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row>
    <row r="29" spans="1:61" ht="15.75" customHeight="1" x14ac:dyDescent="0.2">
      <c r="A29" s="121"/>
      <c r="B29" s="25">
        <f t="shared" si="1"/>
        <v>174</v>
      </c>
      <c r="C29" s="63">
        <f t="shared" si="9"/>
        <v>16.182988520270321</v>
      </c>
      <c r="D29" s="13">
        <f t="shared" si="2"/>
        <v>16.684609913211062</v>
      </c>
      <c r="E29" s="13">
        <f t="shared" si="0"/>
        <v>19.769727257229118</v>
      </c>
      <c r="F29" s="13">
        <f t="shared" si="0"/>
        <v>27.766447248900729</v>
      </c>
      <c r="G29" s="13">
        <f t="shared" si="0"/>
        <v>31.202875408561603</v>
      </c>
      <c r="H29" s="13">
        <f t="shared" si="0"/>
        <v>40.974365580887515</v>
      </c>
      <c r="I29" s="13">
        <f t="shared" si="3"/>
        <v>85.438333675017432</v>
      </c>
      <c r="J29" s="66">
        <f t="shared" si="4"/>
        <v>16.182988520270321</v>
      </c>
      <c r="K29" s="49">
        <f t="shared" si="5"/>
        <v>85.438333675017432</v>
      </c>
      <c r="M29" s="39"/>
      <c r="N29" s="122">
        <f t="shared" si="6"/>
        <v>174</v>
      </c>
      <c r="O29" s="46">
        <f t="shared" si="7"/>
        <v>1336.5632183908046</v>
      </c>
      <c r="P29" s="46">
        <v>20000</v>
      </c>
      <c r="Q29" s="47">
        <f t="shared" si="8"/>
        <v>2.9</v>
      </c>
      <c r="R29" s="47">
        <v>8.4320000000000004</v>
      </c>
      <c r="S29" s="47">
        <v>8.4670000000000005</v>
      </c>
      <c r="T29" s="47">
        <v>7.97</v>
      </c>
      <c r="U29" s="47">
        <v>6.95</v>
      </c>
      <c r="V29" s="47">
        <v>5.53</v>
      </c>
      <c r="W29" s="47">
        <v>3.77</v>
      </c>
      <c r="X29" s="47">
        <v>1.75</v>
      </c>
      <c r="Y29" s="38"/>
      <c r="Z29" s="38"/>
      <c r="AA29" s="38"/>
      <c r="AB29" s="38"/>
      <c r="AC29" s="38"/>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row>
    <row r="30" spans="1:61" ht="15.75" customHeight="1" x14ac:dyDescent="0.2">
      <c r="A30" s="121"/>
      <c r="B30" s="25">
        <f t="shared" si="1"/>
        <v>180</v>
      </c>
      <c r="C30" s="63">
        <f t="shared" si="9"/>
        <v>14.618033593365659</v>
      </c>
      <c r="D30" s="13">
        <f t="shared" si="2"/>
        <v>15.071146339752021</v>
      </c>
      <c r="E30" s="13">
        <f t="shared" si="0"/>
        <v>17.857921410242998</v>
      </c>
      <c r="F30" s="13">
        <f t="shared" si="0"/>
        <v>25.081328961238512</v>
      </c>
      <c r="G30" s="13">
        <f t="shared" si="0"/>
        <v>27.247834661461027</v>
      </c>
      <c r="H30" s="13">
        <f t="shared" si="0"/>
        <v>35.787582791810074</v>
      </c>
      <c r="I30" s="13">
        <f t="shared" si="3"/>
        <v>74.603592691358003</v>
      </c>
      <c r="J30" s="66">
        <f t="shared" si="4"/>
        <v>14.618033593365659</v>
      </c>
      <c r="K30" s="49">
        <f t="shared" si="5"/>
        <v>74.603592691358003</v>
      </c>
      <c r="M30" s="39"/>
      <c r="N30" s="122">
        <f t="shared" si="6"/>
        <v>180</v>
      </c>
      <c r="O30" s="46">
        <f t="shared" si="7"/>
        <v>1248.944074074074</v>
      </c>
      <c r="P30" s="46">
        <v>20000</v>
      </c>
      <c r="Q30" s="47">
        <f t="shared" si="8"/>
        <v>3</v>
      </c>
      <c r="R30" s="47">
        <v>8.4320000000000004</v>
      </c>
      <c r="S30" s="47">
        <v>8.4670000000000005</v>
      </c>
      <c r="T30" s="47">
        <v>7.97</v>
      </c>
      <c r="U30" s="47">
        <v>6.95</v>
      </c>
      <c r="V30" s="47">
        <v>5.53</v>
      </c>
      <c r="W30" s="47">
        <v>3.77</v>
      </c>
      <c r="X30" s="47">
        <v>1.75</v>
      </c>
      <c r="Y30" s="38"/>
      <c r="Z30" s="38"/>
      <c r="AA30" s="38"/>
      <c r="AB30" s="38"/>
      <c r="AC30" s="38"/>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row>
    <row r="31" spans="1:61" ht="15.75" customHeight="1" x14ac:dyDescent="0.2">
      <c r="A31" s="121"/>
      <c r="B31" s="25">
        <f t="shared" si="1"/>
        <v>186</v>
      </c>
      <c r="C31" s="63">
        <f t="shared" si="9"/>
        <v>13.248528314620954</v>
      </c>
      <c r="D31" s="13">
        <f t="shared" si="2"/>
        <v>13.659190734560928</v>
      </c>
      <c r="E31" s="13">
        <f t="shared" si="0"/>
        <v>16.184883960812357</v>
      </c>
      <c r="F31" s="13">
        <f t="shared" si="0"/>
        <v>22.731559261301729</v>
      </c>
      <c r="G31" s="13">
        <f t="shared" si="0"/>
        <v>23.899894044701423</v>
      </c>
      <c r="H31" s="13">
        <f t="shared" si="0"/>
        <v>31.395427831331258</v>
      </c>
      <c r="I31" s="13">
        <f t="shared" si="3"/>
        <v>65.433173777315304</v>
      </c>
      <c r="J31" s="66">
        <f t="shared" si="4"/>
        <v>13.248528314620954</v>
      </c>
      <c r="K31" s="49">
        <f t="shared" si="5"/>
        <v>65.433173777315304</v>
      </c>
      <c r="M31" s="39"/>
      <c r="N31" s="122">
        <f t="shared" si="6"/>
        <v>186</v>
      </c>
      <c r="O31" s="46">
        <f t="shared" si="7"/>
        <v>1169.666666666667</v>
      </c>
      <c r="P31" s="46">
        <v>20000</v>
      </c>
      <c r="Q31" s="47">
        <f t="shared" si="8"/>
        <v>3.1</v>
      </c>
      <c r="R31" s="47">
        <v>8.4320000000000004</v>
      </c>
      <c r="S31" s="47">
        <v>8.4670000000000005</v>
      </c>
      <c r="T31" s="47">
        <v>7.97</v>
      </c>
      <c r="U31" s="47">
        <v>6.95</v>
      </c>
      <c r="V31" s="47">
        <v>5.53</v>
      </c>
      <c r="W31" s="47">
        <v>3.77</v>
      </c>
      <c r="X31" s="47">
        <v>1.75</v>
      </c>
      <c r="Y31" s="38"/>
      <c r="Z31" s="38"/>
      <c r="AA31" s="38"/>
      <c r="AB31" s="38"/>
      <c r="AC31" s="38"/>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row>
    <row r="32" spans="1:61" ht="15.75" customHeight="1" x14ac:dyDescent="0.2">
      <c r="A32" s="121"/>
      <c r="B32" s="25">
        <f t="shared" si="1"/>
        <v>192</v>
      </c>
      <c r="C32" s="63">
        <f t="shared" si="9"/>
        <v>12.044888519924097</v>
      </c>
      <c r="D32" s="13">
        <f t="shared" si="2"/>
        <v>12.418241918130633</v>
      </c>
      <c r="E32" s="13">
        <f t="shared" si="2"/>
        <v>14.714473818254422</v>
      </c>
      <c r="F32" s="13">
        <f t="shared" si="2"/>
        <v>20.517459393641452</v>
      </c>
      <c r="G32" s="13">
        <f t="shared" si="2"/>
        <v>21.050612644501722</v>
      </c>
      <c r="H32" s="13">
        <f t="shared" si="2"/>
        <v>27.656346221937223</v>
      </c>
      <c r="I32" s="13">
        <f t="shared" si="3"/>
        <v>57.629499511718763</v>
      </c>
      <c r="J32" s="66">
        <f t="shared" si="4"/>
        <v>12.044888519924097</v>
      </c>
      <c r="K32" s="49">
        <f t="shared" si="5"/>
        <v>57.629499511718763</v>
      </c>
      <c r="M32" s="39"/>
      <c r="N32" s="122">
        <f t="shared" si="6"/>
        <v>192</v>
      </c>
      <c r="O32" s="46">
        <f t="shared" si="7"/>
        <v>1097.704752604167</v>
      </c>
      <c r="P32" s="46">
        <v>20000</v>
      </c>
      <c r="Q32" s="47">
        <f t="shared" si="8"/>
        <v>3.2</v>
      </c>
      <c r="R32" s="47">
        <v>8.4320000000000004</v>
      </c>
      <c r="S32" s="47">
        <v>8.4670000000000005</v>
      </c>
      <c r="T32" s="47">
        <v>7.97</v>
      </c>
      <c r="U32" s="47">
        <v>6.95</v>
      </c>
      <c r="V32" s="47">
        <v>5.53</v>
      </c>
      <c r="W32" s="47">
        <v>3.77</v>
      </c>
      <c r="X32" s="47">
        <v>1.75</v>
      </c>
      <c r="Y32" s="38"/>
      <c r="Z32" s="38"/>
      <c r="AA32" s="38"/>
      <c r="AB32" s="38"/>
      <c r="AC32" s="38"/>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1:61" ht="15.75" customHeight="1" x14ac:dyDescent="0.2">
      <c r="A33" s="121"/>
      <c r="B33" s="25">
        <f t="shared" si="1"/>
        <v>198</v>
      </c>
      <c r="C33" s="63">
        <f t="shared" si="9"/>
        <v>10.982744998772096</v>
      </c>
      <c r="D33" s="13">
        <f t="shared" si="2"/>
        <v>11.323175311609333</v>
      </c>
      <c r="E33" s="13">
        <f t="shared" si="2"/>
        <v>13.416920668852741</v>
      </c>
      <c r="F33" s="13">
        <f t="shared" si="2"/>
        <v>18.141701177307972</v>
      </c>
      <c r="G33" s="13">
        <f t="shared" si="2"/>
        <v>18.613482130446144</v>
      </c>
      <c r="H33" s="13">
        <f t="shared" si="2"/>
        <v>24.457310895705447</v>
      </c>
      <c r="I33" s="13">
        <f t="shared" si="3"/>
        <v>50.955257626772784</v>
      </c>
      <c r="J33" s="66">
        <f t="shared" si="4"/>
        <v>10.982744998772096</v>
      </c>
      <c r="K33" s="49">
        <f t="shared" si="5"/>
        <v>50.955257626772784</v>
      </c>
      <c r="M33" s="39"/>
      <c r="N33" s="122">
        <f t="shared" si="6"/>
        <v>198</v>
      </c>
      <c r="O33" s="46">
        <f t="shared" si="7"/>
        <v>1032.1851851851852</v>
      </c>
      <c r="P33" s="46">
        <v>20000</v>
      </c>
      <c r="Q33" s="47">
        <f t="shared" si="8"/>
        <v>3.3</v>
      </c>
      <c r="R33" s="47">
        <v>8.4320000000000004</v>
      </c>
      <c r="S33" s="47">
        <v>8.4670000000000005</v>
      </c>
      <c r="T33" s="47">
        <v>7.97</v>
      </c>
      <c r="U33" s="47">
        <v>6.95</v>
      </c>
      <c r="V33" s="47">
        <v>5.53</v>
      </c>
      <c r="W33" s="47">
        <v>3.77</v>
      </c>
      <c r="X33" s="47">
        <v>1.75</v>
      </c>
      <c r="Y33" s="38"/>
      <c r="Z33" s="38"/>
      <c r="AA33" s="38"/>
      <c r="AB33" s="38"/>
      <c r="AC33" s="38"/>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row>
    <row r="34" spans="1:61" ht="15.75" customHeight="1" x14ac:dyDescent="0.2">
      <c r="A34" s="121"/>
      <c r="B34" s="25">
        <f t="shared" si="1"/>
        <v>204</v>
      </c>
      <c r="C34" s="63">
        <f t="shared" si="9"/>
        <v>10.041901766254652</v>
      </c>
      <c r="D34" s="13">
        <f t="shared" si="2"/>
        <v>10.353168918514772</v>
      </c>
      <c r="E34" s="13">
        <f t="shared" si="2"/>
        <v>12.267552363030758</v>
      </c>
      <c r="F34" s="13">
        <f t="shared" si="2"/>
        <v>16.100039015181146</v>
      </c>
      <c r="G34" s="13">
        <f t="shared" si="2"/>
        <v>16.519002415729087</v>
      </c>
      <c r="H34" s="13">
        <f t="shared" si="2"/>
        <v>21.707446565897254</v>
      </c>
      <c r="I34" s="13">
        <f t="shared" si="3"/>
        <v>45.219847463512167</v>
      </c>
      <c r="J34" s="66">
        <f t="shared" si="4"/>
        <v>10.041901766254652</v>
      </c>
      <c r="K34" s="49">
        <f t="shared" si="5"/>
        <v>45.219847463512167</v>
      </c>
      <c r="M34" s="39"/>
      <c r="N34" s="122">
        <f t="shared" si="6"/>
        <v>204</v>
      </c>
      <c r="O34" s="46">
        <f t="shared" si="7"/>
        <v>972.36130334486734</v>
      </c>
      <c r="P34" s="46">
        <v>20000</v>
      </c>
      <c r="Q34" s="47">
        <f t="shared" si="8"/>
        <v>3.4</v>
      </c>
      <c r="R34" s="47">
        <v>8.4320000000000004</v>
      </c>
      <c r="S34" s="47">
        <v>8.4670000000000005</v>
      </c>
      <c r="T34" s="47">
        <v>7.97</v>
      </c>
      <c r="U34" s="47">
        <v>6.95</v>
      </c>
      <c r="V34" s="47">
        <v>5.53</v>
      </c>
      <c r="W34" s="47">
        <v>3.77</v>
      </c>
      <c r="X34" s="47">
        <v>1.75</v>
      </c>
      <c r="Y34" s="38"/>
      <c r="Z34" s="38"/>
      <c r="AA34" s="38"/>
      <c r="AB34" s="38"/>
      <c r="AC34" s="38"/>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row>
    <row r="35" spans="1:61" ht="15.75" customHeight="1" x14ac:dyDescent="0.2">
      <c r="A35" s="121"/>
      <c r="B35" s="25">
        <f t="shared" si="1"/>
        <v>210</v>
      </c>
      <c r="C35" s="63">
        <f t="shared" si="9"/>
        <v>9.2055255281836228</v>
      </c>
      <c r="D35" s="13">
        <f t="shared" si="2"/>
        <v>9.4908676658496685</v>
      </c>
      <c r="E35" s="13">
        <f t="shared" si="2"/>
        <v>11.245804736479554</v>
      </c>
      <c r="F35" s="13">
        <f t="shared" si="2"/>
        <v>14.337652145307828</v>
      </c>
      <c r="G35" s="13">
        <f t="shared" si="2"/>
        <v>14.710966414061279</v>
      </c>
      <c r="H35" s="13">
        <f t="shared" si="2"/>
        <v>19.333210582195253</v>
      </c>
      <c r="I35" s="13">
        <f t="shared" si="3"/>
        <v>40.269161236151611</v>
      </c>
      <c r="J35" s="66">
        <f t="shared" si="4"/>
        <v>9.2055255281836228</v>
      </c>
      <c r="K35" s="49">
        <f t="shared" si="5"/>
        <v>40.269161236151611</v>
      </c>
      <c r="M35" s="39"/>
      <c r="N35" s="122">
        <f t="shared" si="6"/>
        <v>210</v>
      </c>
      <c r="O35" s="46">
        <f t="shared" si="7"/>
        <v>917.59156462585054</v>
      </c>
      <c r="P35" s="46">
        <v>20000</v>
      </c>
      <c r="Q35" s="47">
        <f t="shared" si="8"/>
        <v>3.5</v>
      </c>
      <c r="R35" s="47">
        <v>8.4320000000000004</v>
      </c>
      <c r="S35" s="47">
        <v>8.4670000000000005</v>
      </c>
      <c r="T35" s="47">
        <v>7.97</v>
      </c>
      <c r="U35" s="47">
        <v>6.95</v>
      </c>
      <c r="V35" s="47">
        <v>5.53</v>
      </c>
      <c r="W35" s="47">
        <v>3.77</v>
      </c>
      <c r="X35" s="47">
        <v>1.75</v>
      </c>
      <c r="Y35" s="38"/>
      <c r="Z35" s="38"/>
      <c r="AA35" s="38"/>
      <c r="AB35" s="38"/>
      <c r="AC35" s="38"/>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row>
    <row r="36" spans="1:61" ht="15.75" customHeight="1" x14ac:dyDescent="0.2">
      <c r="A36" s="121"/>
      <c r="B36" s="25">
        <f t="shared" si="1"/>
        <v>216</v>
      </c>
      <c r="C36" s="63">
        <f t="shared" si="9"/>
        <v>8.459510181345868</v>
      </c>
      <c r="D36" s="13">
        <f t="shared" si="2"/>
        <v>8.7217282058750136</v>
      </c>
      <c r="E36" s="13">
        <f t="shared" si="2"/>
        <v>10.334445260557288</v>
      </c>
      <c r="F36" s="13">
        <f t="shared" si="2"/>
        <v>12.809931851575593</v>
      </c>
      <c r="G36" s="13">
        <f t="shared" si="2"/>
        <v>13.143633009193199</v>
      </c>
      <c r="H36" s="13">
        <f t="shared" si="2"/>
        <v>17.274720072839624</v>
      </c>
      <c r="I36" s="13">
        <f t="shared" si="3"/>
        <v>35.977812833409551</v>
      </c>
      <c r="J36" s="66">
        <f t="shared" si="4"/>
        <v>8.459510181345868</v>
      </c>
      <c r="K36" s="49">
        <f t="shared" si="5"/>
        <v>35.977812833409551</v>
      </c>
      <c r="M36" s="39"/>
      <c r="N36" s="122">
        <f t="shared" si="6"/>
        <v>216</v>
      </c>
      <c r="O36" s="46">
        <f t="shared" si="7"/>
        <v>867.32227366255165</v>
      </c>
      <c r="P36" s="46">
        <v>20000</v>
      </c>
      <c r="Q36" s="47">
        <f t="shared" si="8"/>
        <v>3.6</v>
      </c>
      <c r="R36" s="47">
        <v>8.4320000000000004</v>
      </c>
      <c r="S36" s="47">
        <v>8.4670000000000005</v>
      </c>
      <c r="T36" s="47">
        <v>7.97</v>
      </c>
      <c r="U36" s="47">
        <v>6.95</v>
      </c>
      <c r="V36" s="47">
        <v>5.53</v>
      </c>
      <c r="W36" s="47">
        <v>3.77</v>
      </c>
      <c r="X36" s="47">
        <v>1.75</v>
      </c>
      <c r="Y36" s="38"/>
      <c r="Z36" s="38"/>
      <c r="AA36" s="38"/>
      <c r="AB36" s="38"/>
      <c r="AC36" s="38"/>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row>
    <row r="37" spans="1:61" ht="15.75" customHeight="1" x14ac:dyDescent="0.2">
      <c r="A37" s="121"/>
      <c r="B37" s="25">
        <f t="shared" si="1"/>
        <v>222</v>
      </c>
      <c r="C37" s="63">
        <f t="shared" si="9"/>
        <v>7.7919749476017772</v>
      </c>
      <c r="D37" s="13">
        <f t="shared" si="2"/>
        <v>8.033501493955038</v>
      </c>
      <c r="E37" s="13">
        <f t="shared" si="2"/>
        <v>9.5189599446540374</v>
      </c>
      <c r="F37" s="13">
        <f t="shared" si="2"/>
        <v>11.480364439138274</v>
      </c>
      <c r="G37" s="13">
        <f t="shared" si="2"/>
        <v>11.779558541932348</v>
      </c>
      <c r="H37" s="13">
        <f t="shared" si="2"/>
        <v>15.482930773246846</v>
      </c>
      <c r="I37" s="13">
        <f t="shared" si="3"/>
        <v>32.243179790850419</v>
      </c>
      <c r="J37" s="66">
        <f t="shared" si="4"/>
        <v>7.7919749476017772</v>
      </c>
      <c r="K37" s="49">
        <f t="shared" si="5"/>
        <v>32.243179790850419</v>
      </c>
      <c r="M37" s="39"/>
      <c r="N37" s="122">
        <f t="shared" si="6"/>
        <v>222</v>
      </c>
      <c r="O37" s="46">
        <f t="shared" si="7"/>
        <v>821.07353299245199</v>
      </c>
      <c r="P37" s="46">
        <v>20000</v>
      </c>
      <c r="Q37" s="47">
        <f t="shared" si="8"/>
        <v>3.7</v>
      </c>
      <c r="R37" s="47">
        <v>8.4320000000000004</v>
      </c>
      <c r="S37" s="47">
        <v>8.4670000000000005</v>
      </c>
      <c r="T37" s="47">
        <v>7.97</v>
      </c>
      <c r="U37" s="47">
        <v>6.95</v>
      </c>
      <c r="V37" s="47">
        <v>5.53</v>
      </c>
      <c r="W37" s="47">
        <v>3.77</v>
      </c>
      <c r="X37" s="47">
        <v>1.75</v>
      </c>
      <c r="Y37" s="38"/>
      <c r="Z37" s="38"/>
      <c r="AA37" s="38"/>
      <c r="AB37" s="38"/>
      <c r="AC37" s="38"/>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row>
    <row r="38" spans="1:61" ht="15.75" customHeight="1" x14ac:dyDescent="0.2">
      <c r="A38" s="121"/>
      <c r="B38" s="25">
        <f t="shared" si="1"/>
        <v>228</v>
      </c>
      <c r="C38" s="63">
        <f t="shared" si="9"/>
        <v>7.1928653415379946</v>
      </c>
      <c r="D38" s="13">
        <f t="shared" si="2"/>
        <v>7.415821387470924</v>
      </c>
      <c r="E38" s="13">
        <f t="shared" si="2"/>
        <v>8.7870658637658714</v>
      </c>
      <c r="F38" s="13">
        <f t="shared" si="2"/>
        <v>10.318895309863587</v>
      </c>
      <c r="G38" s="13">
        <f t="shared" si="2"/>
        <v>10.587920771180109</v>
      </c>
      <c r="H38" s="13">
        <f t="shared" si="2"/>
        <v>13.917453973178453</v>
      </c>
      <c r="I38" s="13">
        <f t="shared" si="3"/>
        <v>28.980800331489167</v>
      </c>
      <c r="J38" s="66">
        <f t="shared" si="4"/>
        <v>7.1928653415379946</v>
      </c>
      <c r="K38" s="49">
        <f t="shared" si="5"/>
        <v>28.980800331489167</v>
      </c>
      <c r="M38" s="39"/>
      <c r="N38" s="122">
        <f t="shared" si="6"/>
        <v>228</v>
      </c>
      <c r="O38" s="46">
        <f t="shared" si="7"/>
        <v>778.42774699907659</v>
      </c>
      <c r="P38" s="46">
        <v>20000</v>
      </c>
      <c r="Q38" s="47">
        <f t="shared" si="8"/>
        <v>3.8</v>
      </c>
      <c r="R38" s="47">
        <v>8.4320000000000004</v>
      </c>
      <c r="S38" s="47">
        <v>8.4670000000000005</v>
      </c>
      <c r="T38" s="47">
        <v>7.97</v>
      </c>
      <c r="U38" s="47">
        <v>6.95</v>
      </c>
      <c r="V38" s="47">
        <v>5.53</v>
      </c>
      <c r="W38" s="47">
        <v>3.77</v>
      </c>
      <c r="X38" s="47">
        <v>1.75</v>
      </c>
      <c r="Y38" s="38"/>
      <c r="Z38" s="38"/>
      <c r="AA38" s="38"/>
      <c r="AB38" s="38"/>
      <c r="AC38" s="38"/>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row>
    <row r="39" spans="1:61" ht="15.75" customHeight="1" x14ac:dyDescent="0.2">
      <c r="A39" s="121"/>
      <c r="B39" s="25">
        <f t="shared" si="1"/>
        <v>234</v>
      </c>
      <c r="C39" s="63">
        <f t="shared" si="9"/>
        <v>6.6536338613407651</v>
      </c>
      <c r="D39" s="13">
        <f t="shared" si="2"/>
        <v>6.8598754391224501</v>
      </c>
      <c r="E39" s="13">
        <f t="shared" si="2"/>
        <v>8.128321078854345</v>
      </c>
      <c r="F39" s="13">
        <f t="shared" si="2"/>
        <v>9.3006556914441791</v>
      </c>
      <c r="G39" s="13">
        <f t="shared" si="2"/>
        <v>9.5432141605296792</v>
      </c>
      <c r="H39" s="13">
        <f t="shared" si="2"/>
        <v>12.544855377716727</v>
      </c>
      <c r="I39" s="13">
        <f t="shared" si="3"/>
        <v>26.120791530884084</v>
      </c>
      <c r="J39" s="66">
        <f t="shared" si="4"/>
        <v>6.6536338613407651</v>
      </c>
      <c r="K39" s="49">
        <f t="shared" si="5"/>
        <v>26.120791530884084</v>
      </c>
      <c r="M39" s="39"/>
      <c r="N39" s="122">
        <f t="shared" si="6"/>
        <v>234</v>
      </c>
      <c r="O39" s="46">
        <f t="shared" si="7"/>
        <v>739.02016217400853</v>
      </c>
      <c r="P39" s="46">
        <v>20000</v>
      </c>
      <c r="Q39" s="47">
        <f t="shared" si="8"/>
        <v>3.9</v>
      </c>
      <c r="R39" s="47">
        <v>8.4320000000000004</v>
      </c>
      <c r="S39" s="47">
        <v>8.4670000000000005</v>
      </c>
      <c r="T39" s="47">
        <v>7.97</v>
      </c>
      <c r="U39" s="47">
        <v>6.95</v>
      </c>
      <c r="V39" s="47">
        <v>5.53</v>
      </c>
      <c r="W39" s="47">
        <v>3.77</v>
      </c>
      <c r="X39" s="47">
        <v>1.75</v>
      </c>
      <c r="Y39" s="38"/>
      <c r="Z39" s="38"/>
      <c r="AA39" s="38"/>
      <c r="AB39" s="38"/>
      <c r="AC39" s="38"/>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row>
    <row r="40" spans="1:61" ht="15.75" customHeight="1" thickBot="1" x14ac:dyDescent="0.25">
      <c r="A40" s="121"/>
      <c r="B40" s="26">
        <f t="shared" si="1"/>
        <v>240</v>
      </c>
      <c r="C40" s="64">
        <f t="shared" si="9"/>
        <v>6.1669829222011385</v>
      </c>
      <c r="D40" s="20">
        <f t="shared" si="2"/>
        <v>6.3581398620828837</v>
      </c>
      <c r="E40" s="20">
        <f t="shared" si="2"/>
        <v>7.5338105949462646</v>
      </c>
      <c r="F40" s="20">
        <f t="shared" si="2"/>
        <v>8.4049648693252923</v>
      </c>
      <c r="G40" s="20">
        <f t="shared" si="2"/>
        <v>8.6242273203938815</v>
      </c>
      <c r="H40" s="20">
        <f t="shared" si="2"/>
        <v>11.337320665593294</v>
      </c>
      <c r="I40" s="20">
        <f t="shared" si="3"/>
        <v>23.605043000000002</v>
      </c>
      <c r="J40" s="67">
        <f t="shared" si="4"/>
        <v>6.1669829222011385</v>
      </c>
      <c r="K40" s="50">
        <f t="shared" si="5"/>
        <v>23.605043000000002</v>
      </c>
      <c r="M40" s="39"/>
      <c r="N40" s="122">
        <f t="shared" si="6"/>
        <v>240</v>
      </c>
      <c r="O40" s="46">
        <f t="shared" si="7"/>
        <v>702.53104166666674</v>
      </c>
      <c r="P40" s="46">
        <v>20000</v>
      </c>
      <c r="Q40" s="47">
        <f t="shared" si="8"/>
        <v>4</v>
      </c>
      <c r="R40" s="47">
        <v>8.4320000000000004</v>
      </c>
      <c r="S40" s="47">
        <v>8.4670000000000005</v>
      </c>
      <c r="T40" s="47">
        <v>7.97</v>
      </c>
      <c r="U40" s="47">
        <v>6.95</v>
      </c>
      <c r="V40" s="47">
        <v>5.53</v>
      </c>
      <c r="W40" s="47">
        <v>3.77</v>
      </c>
      <c r="X40" s="47">
        <v>1.75</v>
      </c>
      <c r="Y40" s="38"/>
      <c r="Z40" s="38"/>
      <c r="AA40" s="38"/>
      <c r="AB40" s="38"/>
      <c r="AC40" s="38"/>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row>
    <row r="41" spans="1:61" ht="15.75" customHeight="1" x14ac:dyDescent="0.2">
      <c r="A41" s="121"/>
      <c r="B41" s="12"/>
      <c r="C41" s="121"/>
      <c r="D41" s="121"/>
      <c r="E41" s="121"/>
      <c r="F41" s="121"/>
      <c r="G41" s="121"/>
      <c r="H41" s="121"/>
      <c r="I41" s="121"/>
      <c r="J41" s="121"/>
      <c r="K41" s="121"/>
      <c r="M41" s="39"/>
      <c r="N41" s="39"/>
      <c r="O41" s="39"/>
      <c r="P41" s="39"/>
      <c r="Q41" s="39"/>
      <c r="R41" s="38"/>
      <c r="S41" s="38"/>
      <c r="T41" s="38"/>
      <c r="U41" s="38"/>
      <c r="V41" s="38"/>
      <c r="W41" s="38"/>
      <c r="X41" s="38"/>
      <c r="Y41" s="38"/>
      <c r="Z41" s="38"/>
      <c r="AA41" s="38"/>
      <c r="AB41" s="38"/>
      <c r="AC41" s="38"/>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row>
    <row r="42" spans="1:61" ht="15.75" customHeight="1" x14ac:dyDescent="0.2">
      <c r="A42" s="121"/>
      <c r="B42" s="121" t="s">
        <v>103</v>
      </c>
      <c r="C42" s="261" t="s">
        <v>161</v>
      </c>
      <c r="D42" s="261"/>
      <c r="E42" s="261"/>
      <c r="F42" s="261"/>
      <c r="G42" s="261"/>
      <c r="H42" s="261"/>
      <c r="I42" s="261"/>
      <c r="J42" s="261"/>
      <c r="K42" s="261"/>
      <c r="M42" s="39"/>
      <c r="N42" s="39"/>
      <c r="O42" s="39"/>
      <c r="P42" s="39"/>
      <c r="Q42" s="39"/>
      <c r="R42" s="38"/>
      <c r="S42" s="38"/>
      <c r="T42" s="38"/>
      <c r="U42" s="38"/>
      <c r="V42" s="38"/>
      <c r="W42" s="38"/>
      <c r="X42" s="38"/>
      <c r="Y42" s="38"/>
      <c r="Z42" s="38"/>
      <c r="AA42" s="38"/>
      <c r="AB42" s="38"/>
      <c r="AC42" s="38"/>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row>
    <row r="43" spans="1:61" ht="15.75" customHeight="1" x14ac:dyDescent="0.2">
      <c r="A43" s="121"/>
      <c r="B43" s="121"/>
      <c r="C43" s="261"/>
      <c r="D43" s="261"/>
      <c r="E43" s="261"/>
      <c r="F43" s="261"/>
      <c r="G43" s="261"/>
      <c r="H43" s="261"/>
      <c r="I43" s="261"/>
      <c r="J43" s="261"/>
      <c r="K43" s="261"/>
      <c r="M43" s="39"/>
      <c r="N43" s="39"/>
      <c r="O43" s="39"/>
      <c r="P43" s="39"/>
      <c r="Q43" s="39"/>
      <c r="R43" s="38"/>
      <c r="S43" s="38"/>
      <c r="T43" s="38"/>
      <c r="U43" s="38"/>
      <c r="V43" s="38"/>
      <c r="W43" s="38"/>
      <c r="X43" s="38"/>
      <c r="Y43" s="38"/>
      <c r="Z43" s="38"/>
      <c r="AA43" s="38"/>
      <c r="AB43" s="38"/>
      <c r="AC43" s="38"/>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row>
    <row r="44" spans="1:61" ht="15.75" customHeight="1" x14ac:dyDescent="0.2">
      <c r="A44" s="121"/>
      <c r="B44" s="121"/>
      <c r="C44" s="261"/>
      <c r="D44" s="261"/>
      <c r="E44" s="261"/>
      <c r="F44" s="261"/>
      <c r="G44" s="261"/>
      <c r="H44" s="261"/>
      <c r="I44" s="261"/>
      <c r="J44" s="261"/>
      <c r="K44" s="261"/>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row>
    <row r="45" spans="1:61" s="39" customFormat="1" ht="15.75" customHeight="1" x14ac:dyDescent="0.2">
      <c r="A45" s="1"/>
      <c r="B45" s="1"/>
      <c r="C45" s="261"/>
      <c r="D45" s="261"/>
      <c r="E45" s="261"/>
      <c r="F45" s="261"/>
      <c r="G45" s="261"/>
      <c r="H45" s="261"/>
      <c r="I45" s="261"/>
      <c r="J45" s="261"/>
      <c r="K45" s="261"/>
      <c r="L45" s="1"/>
    </row>
    <row r="46" spans="1:61" s="39" customFormat="1" ht="15.75" customHeight="1" x14ac:dyDescent="0.2">
      <c r="A46" s="38"/>
      <c r="B46" s="38"/>
      <c r="C46" s="38"/>
      <c r="D46" s="38"/>
      <c r="E46" s="38"/>
      <c r="F46" s="38"/>
      <c r="G46" s="38"/>
      <c r="H46" s="38"/>
      <c r="I46" s="38"/>
      <c r="J46" s="38"/>
      <c r="K46" s="38"/>
    </row>
    <row r="47" spans="1:61" s="39" customFormat="1" ht="15.75" customHeight="1" x14ac:dyDescent="0.2">
      <c r="A47" s="38"/>
      <c r="B47" s="38"/>
      <c r="C47" s="38"/>
      <c r="D47" s="38"/>
      <c r="E47" s="38"/>
      <c r="F47" s="38"/>
      <c r="G47" s="38"/>
      <c r="H47" s="38"/>
      <c r="I47" s="38"/>
      <c r="J47" s="38"/>
      <c r="K47" s="38"/>
    </row>
    <row r="48" spans="1:61" s="39" customFormat="1" ht="15.75" customHeight="1" x14ac:dyDescent="0.2">
      <c r="A48" s="38"/>
      <c r="B48" s="38"/>
      <c r="C48" s="38"/>
      <c r="D48" s="38"/>
      <c r="E48" s="38"/>
      <c r="F48" s="38"/>
      <c r="G48" s="38"/>
      <c r="H48" s="38"/>
      <c r="I48" s="38"/>
      <c r="J48" s="38"/>
      <c r="K48" s="38"/>
    </row>
    <row r="49" spans="1:11" s="39" customFormat="1" ht="15.75" customHeight="1" x14ac:dyDescent="0.2">
      <c r="A49" s="38"/>
      <c r="B49" s="38"/>
      <c r="C49" s="38"/>
      <c r="D49" s="38"/>
      <c r="E49" s="38"/>
      <c r="F49" s="38"/>
      <c r="G49" s="38"/>
      <c r="H49" s="38"/>
      <c r="I49" s="38"/>
      <c r="J49" s="38"/>
      <c r="K49" s="38"/>
    </row>
    <row r="50" spans="1:11" s="39" customFormat="1" ht="15.75" customHeight="1" x14ac:dyDescent="0.2">
      <c r="A50" s="38"/>
      <c r="B50" s="38"/>
      <c r="C50" s="38"/>
      <c r="D50" s="38"/>
      <c r="E50" s="38"/>
      <c r="F50" s="38"/>
      <c r="G50" s="38"/>
      <c r="H50" s="38"/>
      <c r="I50" s="38"/>
      <c r="J50" s="38"/>
      <c r="K50" s="38"/>
    </row>
    <row r="51" spans="1:11" s="39" customFormat="1" ht="15.75" customHeight="1" x14ac:dyDescent="0.2">
      <c r="A51" s="38"/>
      <c r="B51" s="38"/>
      <c r="C51" s="38"/>
      <c r="D51" s="38"/>
      <c r="E51" s="38"/>
      <c r="F51" s="38"/>
      <c r="G51" s="38"/>
      <c r="H51" s="38"/>
      <c r="I51" s="38"/>
      <c r="J51" s="38"/>
      <c r="K51" s="38"/>
    </row>
    <row r="52" spans="1:11" s="39" customFormat="1" ht="15.75" customHeight="1" x14ac:dyDescent="0.2">
      <c r="A52" s="38"/>
      <c r="B52" s="38"/>
      <c r="C52" s="38"/>
      <c r="D52" s="38"/>
      <c r="E52" s="38"/>
      <c r="F52" s="38"/>
      <c r="G52" s="38"/>
      <c r="H52" s="38"/>
      <c r="I52" s="38"/>
      <c r="J52" s="38"/>
      <c r="K52" s="38"/>
    </row>
    <row r="53" spans="1:11" s="39" customFormat="1" ht="15.75" customHeight="1" x14ac:dyDescent="0.2">
      <c r="A53" s="38"/>
      <c r="B53" s="38"/>
      <c r="C53" s="38"/>
      <c r="D53" s="38"/>
      <c r="E53" s="38"/>
      <c r="F53" s="38"/>
      <c r="G53" s="38"/>
      <c r="H53" s="38"/>
      <c r="I53" s="38"/>
      <c r="J53" s="38"/>
      <c r="K53" s="38"/>
    </row>
    <row r="54" spans="1:11" s="39" customFormat="1" ht="15.75" customHeight="1" x14ac:dyDescent="0.2">
      <c r="A54" s="38"/>
      <c r="B54" s="38"/>
      <c r="C54" s="38"/>
      <c r="D54" s="38"/>
      <c r="E54" s="38"/>
      <c r="F54" s="38"/>
      <c r="G54" s="38"/>
      <c r="H54" s="38"/>
      <c r="I54" s="38"/>
      <c r="J54" s="38"/>
      <c r="K54" s="38"/>
    </row>
    <row r="55" spans="1:11" s="39" customFormat="1" ht="15.75" customHeight="1" x14ac:dyDescent="0.2">
      <c r="A55" s="38"/>
      <c r="B55" s="38"/>
      <c r="C55" s="38"/>
      <c r="D55" s="38"/>
      <c r="E55" s="38"/>
      <c r="F55" s="38"/>
      <c r="G55" s="38"/>
      <c r="H55" s="38"/>
      <c r="I55" s="38"/>
      <c r="J55" s="38"/>
      <c r="K55" s="38"/>
    </row>
    <row r="56" spans="1:11" s="39" customFormat="1" ht="15.75" customHeight="1" x14ac:dyDescent="0.2">
      <c r="A56" s="38"/>
      <c r="B56" s="38"/>
      <c r="C56" s="38"/>
      <c r="D56" s="38"/>
      <c r="E56" s="38"/>
      <c r="F56" s="38"/>
      <c r="G56" s="38"/>
      <c r="H56" s="38"/>
      <c r="I56" s="38"/>
      <c r="J56" s="38"/>
      <c r="K56" s="38"/>
    </row>
    <row r="57" spans="1:11" s="39" customFormat="1" ht="15.75" customHeight="1" x14ac:dyDescent="0.2">
      <c r="A57" s="38"/>
      <c r="B57" s="38"/>
      <c r="C57" s="38"/>
      <c r="D57" s="38"/>
      <c r="E57" s="38"/>
      <c r="F57" s="38"/>
      <c r="G57" s="38"/>
      <c r="H57" s="38"/>
      <c r="I57" s="38"/>
      <c r="J57" s="38"/>
      <c r="K57" s="38"/>
    </row>
    <row r="58" spans="1:11" s="39" customFormat="1" ht="15.75" customHeight="1" x14ac:dyDescent="0.2">
      <c r="A58" s="38"/>
      <c r="B58" s="38"/>
      <c r="C58" s="38"/>
      <c r="D58" s="38"/>
      <c r="E58" s="38"/>
      <c r="F58" s="38"/>
      <c r="G58" s="38"/>
      <c r="H58" s="38"/>
      <c r="I58" s="38"/>
      <c r="J58" s="38"/>
      <c r="K58" s="38"/>
    </row>
    <row r="59" spans="1:11" s="39" customFormat="1" ht="15.75" customHeight="1" x14ac:dyDescent="0.2">
      <c r="A59" s="38"/>
      <c r="B59" s="38"/>
      <c r="C59" s="38"/>
      <c r="D59" s="38"/>
      <c r="E59" s="38"/>
      <c r="F59" s="38"/>
      <c r="G59" s="38"/>
      <c r="H59" s="38"/>
      <c r="I59" s="38"/>
      <c r="J59" s="38"/>
      <c r="K59" s="38"/>
    </row>
    <row r="60" spans="1:11" s="39" customFormat="1" ht="15.75" customHeight="1" x14ac:dyDescent="0.2">
      <c r="A60" s="38"/>
      <c r="B60" s="38"/>
      <c r="C60" s="38"/>
      <c r="D60" s="38"/>
      <c r="E60" s="38"/>
      <c r="F60" s="38"/>
      <c r="G60" s="38"/>
      <c r="H60" s="38"/>
      <c r="I60" s="38"/>
      <c r="J60" s="38"/>
      <c r="K60" s="38"/>
    </row>
    <row r="61" spans="1:11" s="39" customFormat="1" ht="15.75" customHeight="1" x14ac:dyDescent="0.2">
      <c r="A61" s="38"/>
      <c r="B61" s="38"/>
      <c r="C61" s="38"/>
      <c r="D61" s="38"/>
      <c r="E61" s="38"/>
      <c r="F61" s="38"/>
      <c r="G61" s="38"/>
      <c r="H61" s="38"/>
      <c r="I61" s="38"/>
      <c r="J61" s="38"/>
      <c r="K61" s="38"/>
    </row>
    <row r="62" spans="1:11" s="39" customFormat="1" ht="15.75" customHeight="1" x14ac:dyDescent="0.2">
      <c r="A62" s="38"/>
      <c r="B62" s="38"/>
      <c r="C62" s="38"/>
      <c r="D62" s="38"/>
      <c r="E62" s="38"/>
      <c r="F62" s="38"/>
      <c r="G62" s="38"/>
      <c r="H62" s="38"/>
      <c r="I62" s="38"/>
      <c r="J62" s="38"/>
      <c r="K62" s="38"/>
    </row>
    <row r="63" spans="1:11" s="39" customFormat="1" ht="15.75" customHeight="1" x14ac:dyDescent="0.2">
      <c r="A63" s="38"/>
      <c r="B63" s="38"/>
      <c r="C63" s="38"/>
      <c r="D63" s="38"/>
      <c r="E63" s="38"/>
      <c r="F63" s="38"/>
      <c r="G63" s="38"/>
      <c r="H63" s="38"/>
      <c r="I63" s="38"/>
      <c r="J63" s="38"/>
      <c r="K63" s="38"/>
    </row>
    <row r="64" spans="1:11" s="39" customFormat="1" ht="15.75" customHeight="1" x14ac:dyDescent="0.2">
      <c r="A64" s="38"/>
      <c r="B64" s="38"/>
      <c r="C64" s="38"/>
      <c r="D64" s="38"/>
      <c r="E64" s="38"/>
      <c r="F64" s="38"/>
      <c r="G64" s="38"/>
      <c r="H64" s="38"/>
      <c r="I64" s="38"/>
      <c r="J64" s="38"/>
      <c r="K64" s="38"/>
    </row>
    <row r="65" spans="1:11" s="39" customFormat="1" ht="15.75" customHeight="1" x14ac:dyDescent="0.2">
      <c r="A65" s="38"/>
      <c r="B65" s="38"/>
      <c r="C65" s="38"/>
      <c r="D65" s="38"/>
      <c r="E65" s="38"/>
      <c r="F65" s="38"/>
      <c r="G65" s="38"/>
      <c r="H65" s="38"/>
      <c r="I65" s="38"/>
      <c r="J65" s="38"/>
      <c r="K65" s="38"/>
    </row>
    <row r="66" spans="1:11" s="39" customFormat="1" ht="15.75" customHeight="1" x14ac:dyDescent="0.2">
      <c r="A66" s="38"/>
      <c r="B66" s="38"/>
      <c r="C66" s="38"/>
      <c r="D66" s="38"/>
      <c r="E66" s="38"/>
      <c r="F66" s="38"/>
      <c r="G66" s="38"/>
      <c r="H66" s="38"/>
      <c r="I66" s="38"/>
      <c r="J66" s="38"/>
      <c r="K66" s="38"/>
    </row>
    <row r="67" spans="1:11" s="39" customFormat="1" ht="15.75" customHeight="1" x14ac:dyDescent="0.2">
      <c r="A67" s="38"/>
      <c r="B67" s="38"/>
      <c r="C67" s="38"/>
      <c r="D67" s="38"/>
      <c r="E67" s="38"/>
      <c r="F67" s="38"/>
      <c r="G67" s="38"/>
      <c r="H67" s="38"/>
      <c r="I67" s="38"/>
      <c r="J67" s="38"/>
      <c r="K67" s="38"/>
    </row>
    <row r="68" spans="1:11" s="39" customFormat="1" ht="15.75" customHeight="1" x14ac:dyDescent="0.2">
      <c r="A68" s="38"/>
      <c r="B68" s="38"/>
      <c r="C68" s="38"/>
      <c r="D68" s="38"/>
      <c r="E68" s="38"/>
      <c r="F68" s="38"/>
      <c r="G68" s="38"/>
      <c r="H68" s="38"/>
      <c r="I68" s="38"/>
      <c r="J68" s="38"/>
      <c r="K68" s="38"/>
    </row>
    <row r="69" spans="1:11" s="39" customFormat="1" ht="15.75" customHeight="1" x14ac:dyDescent="0.2">
      <c r="A69" s="38"/>
      <c r="B69" s="38"/>
      <c r="C69" s="38"/>
      <c r="D69" s="38"/>
      <c r="E69" s="38"/>
      <c r="F69" s="38"/>
      <c r="G69" s="38"/>
      <c r="H69" s="38"/>
      <c r="I69" s="38"/>
      <c r="J69" s="38"/>
      <c r="K69" s="38"/>
    </row>
    <row r="70" spans="1:11" s="39" customFormat="1" ht="15.75" customHeight="1" x14ac:dyDescent="0.2">
      <c r="A70" s="38"/>
      <c r="B70" s="38"/>
      <c r="C70" s="38"/>
      <c r="D70" s="38"/>
      <c r="E70" s="38"/>
      <c r="F70" s="38"/>
      <c r="G70" s="38"/>
      <c r="H70" s="38"/>
      <c r="I70" s="38"/>
      <c r="J70" s="38"/>
      <c r="K70" s="38"/>
    </row>
    <row r="71" spans="1:11" s="39" customFormat="1" ht="15.75" customHeight="1" x14ac:dyDescent="0.2">
      <c r="A71" s="38"/>
      <c r="B71" s="38"/>
      <c r="C71" s="38"/>
      <c r="D71" s="38"/>
      <c r="E71" s="38"/>
      <c r="F71" s="38"/>
      <c r="G71" s="38"/>
      <c r="H71" s="38"/>
      <c r="I71" s="38"/>
      <c r="J71" s="38"/>
      <c r="K71" s="38"/>
    </row>
    <row r="72" spans="1:11" s="39" customFormat="1" ht="15.75" customHeight="1" x14ac:dyDescent="0.2">
      <c r="A72" s="38"/>
      <c r="B72" s="38"/>
      <c r="C72" s="38"/>
      <c r="D72" s="38"/>
      <c r="E72" s="38"/>
      <c r="F72" s="38"/>
      <c r="G72" s="38"/>
      <c r="H72" s="38"/>
      <c r="I72" s="38"/>
      <c r="J72" s="38"/>
      <c r="K72" s="38"/>
    </row>
    <row r="73" spans="1:11" s="39" customFormat="1" ht="15.75" customHeight="1" x14ac:dyDescent="0.2">
      <c r="A73" s="38"/>
      <c r="B73" s="38"/>
      <c r="C73" s="38"/>
      <c r="D73" s="38"/>
      <c r="E73" s="38"/>
      <c r="F73" s="38"/>
      <c r="G73" s="38"/>
      <c r="H73" s="38"/>
      <c r="I73" s="38"/>
      <c r="J73" s="38"/>
      <c r="K73" s="38"/>
    </row>
    <row r="74" spans="1:11" s="39" customFormat="1" ht="15.75" customHeight="1" x14ac:dyDescent="0.2">
      <c r="A74" s="38"/>
      <c r="B74" s="38"/>
      <c r="C74" s="38"/>
      <c r="D74" s="38"/>
      <c r="E74" s="38"/>
      <c r="F74" s="38"/>
      <c r="G74" s="38"/>
      <c r="H74" s="38"/>
      <c r="I74" s="38"/>
      <c r="J74" s="38"/>
      <c r="K74" s="38"/>
    </row>
    <row r="75" spans="1:11" s="39" customFormat="1" ht="15.75" customHeight="1" x14ac:dyDescent="0.2">
      <c r="A75" s="38"/>
      <c r="B75" s="38"/>
      <c r="C75" s="38"/>
      <c r="D75" s="38"/>
      <c r="E75" s="38"/>
      <c r="F75" s="38"/>
      <c r="G75" s="38"/>
      <c r="H75" s="38"/>
      <c r="I75" s="38"/>
      <c r="J75" s="38"/>
      <c r="K75" s="38"/>
    </row>
    <row r="76" spans="1:11" s="39" customFormat="1" ht="15.75" customHeight="1" x14ac:dyDescent="0.2">
      <c r="A76" s="38"/>
      <c r="B76" s="38"/>
      <c r="C76" s="38"/>
      <c r="D76" s="38"/>
      <c r="E76" s="38"/>
      <c r="F76" s="38"/>
      <c r="G76" s="38"/>
      <c r="H76" s="38"/>
      <c r="I76" s="38"/>
      <c r="J76" s="38"/>
      <c r="K76" s="38"/>
    </row>
    <row r="77" spans="1:11" s="39" customFormat="1" ht="15.75" customHeight="1" x14ac:dyDescent="0.2">
      <c r="A77" s="38"/>
      <c r="B77" s="38"/>
      <c r="C77" s="38"/>
      <c r="D77" s="38"/>
      <c r="E77" s="38"/>
      <c r="F77" s="38"/>
      <c r="G77" s="38"/>
      <c r="H77" s="38"/>
      <c r="I77" s="38"/>
      <c r="J77" s="38"/>
      <c r="K77" s="38"/>
    </row>
    <row r="78" spans="1:11" s="39" customFormat="1" ht="15.75" customHeight="1" x14ac:dyDescent="0.2">
      <c r="A78" s="38"/>
      <c r="B78" s="38"/>
      <c r="C78" s="38"/>
      <c r="D78" s="38"/>
      <c r="E78" s="38"/>
      <c r="F78" s="38"/>
      <c r="G78" s="38"/>
      <c r="H78" s="38"/>
      <c r="I78" s="38"/>
      <c r="J78" s="38"/>
      <c r="K78" s="38"/>
    </row>
    <row r="79" spans="1:11" s="39" customFormat="1" x14ac:dyDescent="0.2">
      <c r="A79" s="38"/>
      <c r="B79" s="38"/>
      <c r="C79" s="38"/>
      <c r="D79" s="38"/>
      <c r="E79" s="38"/>
      <c r="F79" s="38"/>
      <c r="G79" s="38"/>
      <c r="H79" s="38"/>
      <c r="I79" s="38"/>
      <c r="J79" s="38"/>
      <c r="K79" s="38"/>
    </row>
    <row r="80" spans="1:11" s="39" customFormat="1" x14ac:dyDescent="0.2">
      <c r="A80" s="38"/>
      <c r="B80" s="38"/>
      <c r="C80" s="38"/>
      <c r="D80" s="38"/>
      <c r="E80" s="38"/>
      <c r="F80" s="38"/>
      <c r="G80" s="38"/>
      <c r="H80" s="38"/>
      <c r="I80" s="38"/>
      <c r="J80" s="38"/>
      <c r="K80" s="38"/>
    </row>
    <row r="81" spans="1:11" s="39" customFormat="1" x14ac:dyDescent="0.2">
      <c r="A81" s="38"/>
      <c r="B81" s="38"/>
      <c r="C81" s="38"/>
      <c r="D81" s="38"/>
      <c r="E81" s="38"/>
      <c r="F81" s="38"/>
      <c r="G81" s="38"/>
      <c r="H81" s="38"/>
      <c r="I81" s="38"/>
      <c r="J81" s="38"/>
      <c r="K81" s="38"/>
    </row>
    <row r="82" spans="1:11" s="39" customFormat="1" x14ac:dyDescent="0.2">
      <c r="A82" s="38"/>
      <c r="B82" s="38"/>
      <c r="C82" s="38"/>
      <c r="D82" s="38"/>
      <c r="E82" s="38"/>
      <c r="F82" s="38"/>
      <c r="G82" s="38"/>
      <c r="H82" s="38"/>
      <c r="I82" s="38"/>
      <c r="J82" s="38"/>
      <c r="K82" s="38"/>
    </row>
    <row r="83" spans="1:11" s="39" customFormat="1" x14ac:dyDescent="0.2"/>
    <row r="84" spans="1:11" s="39" customFormat="1" x14ac:dyDescent="0.2"/>
    <row r="85" spans="1:11" s="39" customFormat="1" x14ac:dyDescent="0.2"/>
    <row r="86" spans="1:11" s="39" customFormat="1" x14ac:dyDescent="0.2"/>
    <row r="87" spans="1:11" s="39" customFormat="1" x14ac:dyDescent="0.2"/>
    <row r="88" spans="1:11" s="39" customFormat="1" x14ac:dyDescent="0.2"/>
    <row r="89" spans="1:11" s="39" customFormat="1" x14ac:dyDescent="0.2"/>
    <row r="90" spans="1:11" s="39" customFormat="1" x14ac:dyDescent="0.2"/>
    <row r="91" spans="1:11" s="39" customFormat="1" x14ac:dyDescent="0.2"/>
    <row r="92" spans="1:11" s="39" customFormat="1" x14ac:dyDescent="0.2"/>
    <row r="93" spans="1:11" s="39" customFormat="1" x14ac:dyDescent="0.2"/>
    <row r="94" spans="1:11" s="39" customFormat="1" x14ac:dyDescent="0.2"/>
    <row r="95" spans="1:11" s="39" customFormat="1" x14ac:dyDescent="0.2"/>
    <row r="96" spans="1:11" s="39" customFormat="1" x14ac:dyDescent="0.2"/>
    <row r="97" s="39" customFormat="1" x14ac:dyDescent="0.2"/>
    <row r="98" s="39" customFormat="1" x14ac:dyDescent="0.2"/>
    <row r="99" s="39" customFormat="1" x14ac:dyDescent="0.2"/>
    <row r="100" s="39" customFormat="1" x14ac:dyDescent="0.2"/>
    <row r="101" s="39" customFormat="1" x14ac:dyDescent="0.2"/>
    <row r="102" s="39" customFormat="1" x14ac:dyDescent="0.2"/>
    <row r="103" s="39" customFormat="1" x14ac:dyDescent="0.2"/>
    <row r="104" s="39" customFormat="1" x14ac:dyDescent="0.2"/>
    <row r="105" s="39" customFormat="1" x14ac:dyDescent="0.2"/>
    <row r="106" s="39" customFormat="1" x14ac:dyDescent="0.2"/>
    <row r="107" s="39" customFormat="1" x14ac:dyDescent="0.2"/>
    <row r="108" s="39" customFormat="1" x14ac:dyDescent="0.2"/>
    <row r="109" s="39" customFormat="1" x14ac:dyDescent="0.2"/>
    <row r="110" s="39" customFormat="1" x14ac:dyDescent="0.2"/>
    <row r="111" s="39" customFormat="1" x14ac:dyDescent="0.2"/>
    <row r="112" s="39" customFormat="1" x14ac:dyDescent="0.2"/>
    <row r="113" s="39" customFormat="1" x14ac:dyDescent="0.2"/>
    <row r="114" s="39" customFormat="1" x14ac:dyDescent="0.2"/>
    <row r="115" s="39" customFormat="1" x14ac:dyDescent="0.2"/>
    <row r="116" s="39" customFormat="1" x14ac:dyDescent="0.2"/>
    <row r="117" s="39" customFormat="1" x14ac:dyDescent="0.2"/>
    <row r="118" s="39" customFormat="1" x14ac:dyDescent="0.2"/>
    <row r="119" s="39" customFormat="1" x14ac:dyDescent="0.2"/>
    <row r="120" s="39" customFormat="1" x14ac:dyDescent="0.2"/>
    <row r="121" s="39" customFormat="1" x14ac:dyDescent="0.2"/>
    <row r="122" s="39" customFormat="1" x14ac:dyDescent="0.2"/>
    <row r="123" s="39" customFormat="1" x14ac:dyDescent="0.2"/>
    <row r="124" s="39" customFormat="1" x14ac:dyDescent="0.2"/>
    <row r="125" s="39" customFormat="1" x14ac:dyDescent="0.2"/>
    <row r="126" s="39" customFormat="1" x14ac:dyDescent="0.2"/>
    <row r="127" s="39" customFormat="1" x14ac:dyDescent="0.2"/>
    <row r="128" s="39" customFormat="1" x14ac:dyDescent="0.2"/>
    <row r="129" s="39" customFormat="1" x14ac:dyDescent="0.2"/>
    <row r="130" s="39" customFormat="1" x14ac:dyDescent="0.2"/>
    <row r="131" s="39" customFormat="1" x14ac:dyDescent="0.2"/>
    <row r="132" s="39" customFormat="1" x14ac:dyDescent="0.2"/>
    <row r="133" s="39" customFormat="1" x14ac:dyDescent="0.2"/>
    <row r="134" s="39" customFormat="1" x14ac:dyDescent="0.2"/>
    <row r="135" s="39" customFormat="1" x14ac:dyDescent="0.2"/>
    <row r="136" s="39" customFormat="1" x14ac:dyDescent="0.2"/>
    <row r="137" s="39" customFormat="1" x14ac:dyDescent="0.2"/>
    <row r="138" s="39" customFormat="1" x14ac:dyDescent="0.2"/>
    <row r="139" s="39" customFormat="1" x14ac:dyDescent="0.2"/>
    <row r="140" s="39" customFormat="1" x14ac:dyDescent="0.2"/>
    <row r="141" s="39" customFormat="1" x14ac:dyDescent="0.2"/>
    <row r="142" s="39" customFormat="1" x14ac:dyDescent="0.2"/>
    <row r="143" s="39" customFormat="1" x14ac:dyDescent="0.2"/>
    <row r="144" s="39" customFormat="1" x14ac:dyDescent="0.2"/>
    <row r="145" s="39" customFormat="1" x14ac:dyDescent="0.2"/>
    <row r="146" s="39" customFormat="1" x14ac:dyDescent="0.2"/>
    <row r="147" s="39" customFormat="1" x14ac:dyDescent="0.2"/>
    <row r="148" s="39" customFormat="1" x14ac:dyDescent="0.2"/>
    <row r="149" s="39" customFormat="1" x14ac:dyDescent="0.2"/>
    <row r="150" s="39" customFormat="1" x14ac:dyDescent="0.2"/>
    <row r="151" s="39" customFormat="1" x14ac:dyDescent="0.2"/>
    <row r="152" s="39" customFormat="1" x14ac:dyDescent="0.2"/>
    <row r="153" s="39" customFormat="1" x14ac:dyDescent="0.2"/>
    <row r="154" s="39" customFormat="1" x14ac:dyDescent="0.2"/>
    <row r="155" s="39" customFormat="1" x14ac:dyDescent="0.2"/>
    <row r="156" s="39" customFormat="1" x14ac:dyDescent="0.2"/>
    <row r="157" s="39" customFormat="1" x14ac:dyDescent="0.2"/>
    <row r="158" s="39" customFormat="1" x14ac:dyDescent="0.2"/>
    <row r="159" s="39" customFormat="1" x14ac:dyDescent="0.2"/>
    <row r="160" s="39" customFormat="1" x14ac:dyDescent="0.2"/>
    <row r="161" s="39" customFormat="1" x14ac:dyDescent="0.2"/>
    <row r="162" s="39" customFormat="1" x14ac:dyDescent="0.2"/>
    <row r="163" s="39" customFormat="1" x14ac:dyDescent="0.2"/>
    <row r="164" s="39" customFormat="1" x14ac:dyDescent="0.2"/>
    <row r="165" s="39" customFormat="1" x14ac:dyDescent="0.2"/>
    <row r="166" s="39" customFormat="1" x14ac:dyDescent="0.2"/>
    <row r="167" s="39" customFormat="1" x14ac:dyDescent="0.2"/>
    <row r="168" s="39" customFormat="1" x14ac:dyDescent="0.2"/>
    <row r="169" s="39" customFormat="1" x14ac:dyDescent="0.2"/>
    <row r="170" s="39" customFormat="1" x14ac:dyDescent="0.2"/>
    <row r="171" s="39" customFormat="1" x14ac:dyDescent="0.2"/>
    <row r="172" s="39" customFormat="1" x14ac:dyDescent="0.2"/>
    <row r="173" s="39" customFormat="1" x14ac:dyDescent="0.2"/>
    <row r="174" s="39" customFormat="1" x14ac:dyDescent="0.2"/>
    <row r="175" s="39" customFormat="1" x14ac:dyDescent="0.2"/>
    <row r="176" s="39" customFormat="1" x14ac:dyDescent="0.2"/>
    <row r="177" s="39" customFormat="1" x14ac:dyDescent="0.2"/>
    <row r="178" s="39" customFormat="1" x14ac:dyDescent="0.2"/>
    <row r="179" s="39" customFormat="1" x14ac:dyDescent="0.2"/>
    <row r="180" s="39" customFormat="1" x14ac:dyDescent="0.2"/>
    <row r="181" s="39" customFormat="1" x14ac:dyDescent="0.2"/>
    <row r="182" s="39" customFormat="1" x14ac:dyDescent="0.2"/>
    <row r="183" s="39" customFormat="1" x14ac:dyDescent="0.2"/>
    <row r="184" s="39" customFormat="1" x14ac:dyDescent="0.2"/>
    <row r="185" s="39" customFormat="1" x14ac:dyDescent="0.2"/>
    <row r="186" s="39" customFormat="1" x14ac:dyDescent="0.2"/>
    <row r="187" s="39" customFormat="1" x14ac:dyDescent="0.2"/>
    <row r="188" s="39" customFormat="1" x14ac:dyDescent="0.2"/>
    <row r="189" s="39" customFormat="1" x14ac:dyDescent="0.2"/>
    <row r="190" s="39" customFormat="1" x14ac:dyDescent="0.2"/>
    <row r="191" s="39" customFormat="1" x14ac:dyDescent="0.2"/>
    <row r="192" s="39" customFormat="1" x14ac:dyDescent="0.2"/>
    <row r="193" s="39" customFormat="1" x14ac:dyDescent="0.2"/>
    <row r="194" s="39" customFormat="1" x14ac:dyDescent="0.2"/>
    <row r="195" s="39" customFormat="1" x14ac:dyDescent="0.2"/>
    <row r="196" s="39" customFormat="1" x14ac:dyDescent="0.2"/>
    <row r="197" s="39" customFormat="1" x14ac:dyDescent="0.2"/>
    <row r="198" s="39" customFormat="1" x14ac:dyDescent="0.2"/>
    <row r="199" s="39" customFormat="1" x14ac:dyDescent="0.2"/>
    <row r="200" s="39" customFormat="1" x14ac:dyDescent="0.2"/>
    <row r="201" s="39" customFormat="1" x14ac:dyDescent="0.2"/>
    <row r="202" s="39" customFormat="1" x14ac:dyDescent="0.2"/>
    <row r="203" s="39" customFormat="1" x14ac:dyDescent="0.2"/>
    <row r="204" s="39" customFormat="1" x14ac:dyDescent="0.2"/>
    <row r="205" s="39" customFormat="1" x14ac:dyDescent="0.2"/>
    <row r="206" s="39" customFormat="1" x14ac:dyDescent="0.2"/>
    <row r="207" s="39" customFormat="1" x14ac:dyDescent="0.2"/>
    <row r="208" s="39" customFormat="1" x14ac:dyDescent="0.2"/>
    <row r="209" s="39" customFormat="1" x14ac:dyDescent="0.2"/>
    <row r="210" s="39" customFormat="1" x14ac:dyDescent="0.2"/>
    <row r="211" s="39" customFormat="1" x14ac:dyDescent="0.2"/>
    <row r="212" s="39" customFormat="1" x14ac:dyDescent="0.2"/>
    <row r="213" s="39" customFormat="1" x14ac:dyDescent="0.2"/>
    <row r="214" s="39" customFormat="1" x14ac:dyDescent="0.2"/>
    <row r="215" s="39" customFormat="1" x14ac:dyDescent="0.2"/>
    <row r="216" s="39" customFormat="1" x14ac:dyDescent="0.2"/>
    <row r="217" s="39" customFormat="1" x14ac:dyDescent="0.2"/>
    <row r="218" s="39" customFormat="1" x14ac:dyDescent="0.2"/>
    <row r="219" s="39" customFormat="1" x14ac:dyDescent="0.2"/>
    <row r="220" s="39" customFormat="1" x14ac:dyDescent="0.2"/>
    <row r="221" s="39" customFormat="1" x14ac:dyDescent="0.2"/>
    <row r="222" s="39" customFormat="1" x14ac:dyDescent="0.2"/>
    <row r="223" s="39" customFormat="1" x14ac:dyDescent="0.2"/>
    <row r="224" s="39" customFormat="1" x14ac:dyDescent="0.2"/>
    <row r="225" s="39" customFormat="1" x14ac:dyDescent="0.2"/>
    <row r="226" s="39" customFormat="1" x14ac:dyDescent="0.2"/>
    <row r="227" s="39" customFormat="1" x14ac:dyDescent="0.2"/>
    <row r="228" s="39" customFormat="1" x14ac:dyDescent="0.2"/>
    <row r="229" s="39" customFormat="1" x14ac:dyDescent="0.2"/>
    <row r="230" s="39" customFormat="1" x14ac:dyDescent="0.2"/>
    <row r="231" s="39" customFormat="1" x14ac:dyDescent="0.2"/>
    <row r="232" s="39" customFormat="1" x14ac:dyDescent="0.2"/>
    <row r="233" s="39" customFormat="1" x14ac:dyDescent="0.2"/>
    <row r="234" s="39" customFormat="1" x14ac:dyDescent="0.2"/>
    <row r="235" s="39" customFormat="1" x14ac:dyDescent="0.2"/>
    <row r="236" s="39" customFormat="1" x14ac:dyDescent="0.2"/>
    <row r="237" s="39" customFormat="1" x14ac:dyDescent="0.2"/>
    <row r="238" s="39" customFormat="1" x14ac:dyDescent="0.2"/>
    <row r="239" s="39" customFormat="1" x14ac:dyDescent="0.2"/>
    <row r="240" s="39" customFormat="1" x14ac:dyDescent="0.2"/>
  </sheetData>
  <mergeCells count="15">
    <mergeCell ref="C42:K45"/>
    <mergeCell ref="D1:H1"/>
    <mergeCell ref="P4:R4"/>
    <mergeCell ref="S4:U4"/>
    <mergeCell ref="I2:K2"/>
    <mergeCell ref="C13:K13"/>
    <mergeCell ref="O14:P14"/>
    <mergeCell ref="R14:X14"/>
    <mergeCell ref="O8:P8"/>
    <mergeCell ref="O7:P7"/>
    <mergeCell ref="B14:B15"/>
    <mergeCell ref="N13:W13"/>
    <mergeCell ref="N14:N15"/>
    <mergeCell ref="C14:I14"/>
    <mergeCell ref="J14:K14"/>
  </mergeCells>
  <pageMargins left="0.25" right="0.25" top="0.75" bottom="0.75" header="0.3" footer="0.3"/>
  <pageSetup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EN601"/>
  <sheetViews>
    <sheetView showGridLines="0" topLeftCell="A94" zoomScale="70" zoomScaleNormal="70" workbookViewId="0">
      <selection activeCell="B108" sqref="B108"/>
    </sheetView>
  </sheetViews>
  <sheetFormatPr defaultRowHeight="15" x14ac:dyDescent="0.25"/>
  <cols>
    <col min="1" max="1" width="3.7109375" customWidth="1"/>
    <col min="12" max="12" width="9.28515625" customWidth="1"/>
    <col min="13" max="144" width="9.140625" style="53"/>
  </cols>
  <sheetData>
    <row r="1" spans="1:22" ht="15.75" customHeight="1" thickBot="1" x14ac:dyDescent="0.3">
      <c r="E1" s="256" t="s">
        <v>162</v>
      </c>
      <c r="F1" s="256"/>
      <c r="G1" s="256"/>
    </row>
    <row r="2" spans="1:22" ht="15.75" customHeight="1" x14ac:dyDescent="0.25">
      <c r="A2" s="1"/>
      <c r="B2" s="1"/>
      <c r="C2" s="1"/>
      <c r="D2" s="1"/>
      <c r="E2" s="230" t="s">
        <v>163</v>
      </c>
      <c r="F2" s="230"/>
      <c r="G2" s="230"/>
      <c r="H2" s="1"/>
      <c r="I2" s="263" t="s">
        <v>133</v>
      </c>
      <c r="J2" s="264"/>
      <c r="K2" s="265"/>
      <c r="L2" s="1"/>
      <c r="M2" s="37"/>
      <c r="N2" s="37"/>
      <c r="O2" s="37"/>
      <c r="P2" s="37"/>
      <c r="Q2" s="37"/>
      <c r="R2" s="37"/>
      <c r="S2" s="37"/>
      <c r="T2" s="37"/>
      <c r="U2" s="37"/>
      <c r="V2" s="37"/>
    </row>
    <row r="3" spans="1:22" ht="15.75" customHeight="1" x14ac:dyDescent="0.25">
      <c r="A3" s="1"/>
      <c r="B3" s="1"/>
      <c r="C3" s="1"/>
      <c r="D3" s="1"/>
      <c r="E3" s="1"/>
      <c r="F3" s="1"/>
      <c r="G3" s="1"/>
      <c r="H3" s="1"/>
      <c r="I3" s="3" t="s">
        <v>134</v>
      </c>
      <c r="J3" s="4">
        <v>2.4380000000000002</v>
      </c>
      <c r="K3" s="5" t="s">
        <v>135</v>
      </c>
      <c r="L3" s="1"/>
      <c r="M3" s="37"/>
      <c r="N3" s="37"/>
      <c r="O3" s="37"/>
      <c r="P3" s="37"/>
      <c r="Q3" s="37"/>
      <c r="R3" s="37"/>
      <c r="S3" s="37"/>
      <c r="T3" s="37"/>
      <c r="U3" s="37"/>
      <c r="V3" s="37"/>
    </row>
    <row r="4" spans="1:22" ht="15.75" customHeight="1" x14ac:dyDescent="0.25">
      <c r="A4" s="1"/>
      <c r="B4" s="1"/>
      <c r="C4" s="1"/>
      <c r="D4" s="1"/>
      <c r="E4" s="1"/>
      <c r="F4" s="1"/>
      <c r="G4" s="1"/>
      <c r="H4" s="1"/>
      <c r="I4" s="3" t="s">
        <v>136</v>
      </c>
      <c r="J4" s="4">
        <v>17.45</v>
      </c>
      <c r="K4" s="5" t="s">
        <v>137</v>
      </c>
      <c r="L4" s="1"/>
      <c r="M4" s="37"/>
      <c r="N4" s="37"/>
      <c r="O4" s="37"/>
      <c r="P4" s="37"/>
      <c r="Q4" s="37"/>
      <c r="R4" s="37"/>
      <c r="S4" s="37"/>
      <c r="T4" s="37"/>
      <c r="U4" s="37"/>
      <c r="V4" s="37"/>
    </row>
    <row r="5" spans="1:22" ht="15.75" customHeight="1" x14ac:dyDescent="0.25">
      <c r="A5" s="1"/>
      <c r="B5" s="1"/>
      <c r="C5" s="1"/>
      <c r="D5" s="1"/>
      <c r="E5" s="1"/>
      <c r="F5" s="1"/>
      <c r="G5" s="1"/>
      <c r="H5" s="1"/>
      <c r="I5" s="3" t="s">
        <v>138</v>
      </c>
      <c r="J5" s="4">
        <v>1.8720000000000001</v>
      </c>
      <c r="K5" s="5" t="s">
        <v>137</v>
      </c>
      <c r="L5" s="1"/>
      <c r="M5" s="37"/>
      <c r="N5" s="37"/>
      <c r="O5" s="37"/>
      <c r="P5" s="37"/>
      <c r="Q5" s="37"/>
      <c r="R5" s="37"/>
      <c r="S5" s="37"/>
      <c r="T5" s="37"/>
      <c r="U5" s="37"/>
      <c r="V5" s="37"/>
    </row>
    <row r="6" spans="1:22" ht="15.75" customHeight="1" x14ac:dyDescent="0.25">
      <c r="A6" s="1"/>
      <c r="B6" s="1"/>
      <c r="C6" s="1"/>
      <c r="D6" s="1"/>
      <c r="E6" s="1"/>
      <c r="F6" s="1"/>
      <c r="G6" s="1"/>
      <c r="H6" s="1"/>
      <c r="I6" s="3" t="s">
        <v>139</v>
      </c>
      <c r="J6" s="4">
        <v>4.3630000000000004</v>
      </c>
      <c r="K6" s="5" t="s">
        <v>140</v>
      </c>
      <c r="L6" s="1"/>
      <c r="M6" s="37"/>
      <c r="N6" s="37"/>
      <c r="O6" s="37"/>
      <c r="P6" s="37"/>
      <c r="Q6" s="37"/>
      <c r="R6" s="37"/>
      <c r="S6" s="37"/>
      <c r="T6" s="37"/>
      <c r="U6" s="37"/>
      <c r="V6" s="37"/>
    </row>
    <row r="7" spans="1:22" ht="15.75" customHeight="1" x14ac:dyDescent="0.25">
      <c r="A7" s="1"/>
      <c r="B7" s="1"/>
      <c r="C7" s="1"/>
      <c r="D7" s="1"/>
      <c r="E7" s="1"/>
      <c r="F7" s="1"/>
      <c r="G7" s="1"/>
      <c r="H7" s="1"/>
      <c r="I7" s="3" t="s">
        <v>141</v>
      </c>
      <c r="J7" s="4">
        <v>1.8720000000000001</v>
      </c>
      <c r="K7" s="5" t="s">
        <v>140</v>
      </c>
      <c r="L7" s="1"/>
      <c r="M7" s="37"/>
      <c r="N7" s="37"/>
      <c r="O7" s="37"/>
      <c r="P7" s="37"/>
      <c r="Q7" s="37"/>
      <c r="R7" s="37"/>
      <c r="S7" s="37"/>
      <c r="T7" s="37"/>
      <c r="U7" s="37"/>
      <c r="V7" s="37"/>
    </row>
    <row r="8" spans="1:22" ht="15.75" customHeight="1" thickBot="1" x14ac:dyDescent="0.3">
      <c r="A8" s="1"/>
      <c r="B8" s="1"/>
      <c r="C8" s="1"/>
      <c r="D8" s="1"/>
      <c r="E8" s="1"/>
      <c r="F8" s="1"/>
      <c r="G8" s="1"/>
      <c r="H8" s="1"/>
      <c r="I8" s="6" t="s">
        <v>143</v>
      </c>
      <c r="J8" s="7">
        <v>6.4</v>
      </c>
      <c r="K8" s="8" t="s">
        <v>137</v>
      </c>
      <c r="L8" s="1"/>
      <c r="M8" s="37"/>
      <c r="N8" s="37"/>
      <c r="O8" s="37"/>
      <c r="P8" s="37"/>
      <c r="Q8" s="37"/>
      <c r="R8" s="37"/>
      <c r="S8" s="37"/>
      <c r="T8" s="37"/>
      <c r="U8" s="37"/>
      <c r="V8" s="37"/>
    </row>
    <row r="9" spans="1:22" ht="15.75" customHeight="1" x14ac:dyDescent="0.25">
      <c r="A9" s="1"/>
      <c r="B9" s="1"/>
      <c r="C9" s="1"/>
      <c r="D9" s="1"/>
      <c r="E9" s="1"/>
      <c r="F9" s="1"/>
      <c r="G9" s="1"/>
      <c r="H9" s="1"/>
      <c r="I9" s="1"/>
      <c r="J9" s="1"/>
      <c r="K9" s="1"/>
      <c r="L9" s="1"/>
      <c r="M9" s="37"/>
      <c r="N9" s="37"/>
      <c r="O9" s="37"/>
      <c r="P9" s="37"/>
      <c r="Q9" s="37"/>
      <c r="R9" s="37"/>
      <c r="S9" s="37"/>
      <c r="T9" s="37"/>
      <c r="U9" s="37"/>
      <c r="V9" s="37"/>
    </row>
    <row r="10" spans="1:22" ht="15.75" customHeight="1" x14ac:dyDescent="0.25">
      <c r="A10" s="1"/>
      <c r="B10" s="1"/>
      <c r="C10" s="1"/>
      <c r="D10" s="1"/>
      <c r="E10" s="1"/>
      <c r="F10" s="1"/>
      <c r="G10" s="1"/>
      <c r="H10" s="1"/>
      <c r="I10" s="1"/>
      <c r="J10" s="1"/>
      <c r="K10" s="1"/>
      <c r="L10" s="1"/>
      <c r="M10" s="37"/>
      <c r="N10" s="37"/>
      <c r="O10" s="37"/>
      <c r="P10" s="37"/>
      <c r="Q10" s="37"/>
      <c r="R10" s="37"/>
      <c r="S10" s="37"/>
      <c r="T10" s="37"/>
      <c r="U10" s="37"/>
      <c r="V10" s="37"/>
    </row>
    <row r="11" spans="1:22" ht="15.75" customHeight="1" x14ac:dyDescent="0.25">
      <c r="A11" s="1"/>
      <c r="B11" s="1"/>
      <c r="C11" s="1"/>
      <c r="D11" s="1"/>
      <c r="E11" s="1"/>
      <c r="F11" s="1"/>
      <c r="G11" s="1"/>
      <c r="H11" s="1" t="s">
        <v>103</v>
      </c>
      <c r="I11" s="1"/>
      <c r="J11" s="1"/>
      <c r="K11" s="1"/>
      <c r="L11" s="1"/>
      <c r="M11" s="37"/>
      <c r="N11" s="37"/>
      <c r="O11" s="37"/>
      <c r="P11" s="37"/>
      <c r="Q11" s="37"/>
      <c r="R11" s="37"/>
      <c r="S11" s="37"/>
      <c r="T11" s="37"/>
      <c r="U11" s="37"/>
      <c r="V11" s="37"/>
    </row>
    <row r="12" spans="1:22" ht="15.75" customHeight="1" x14ac:dyDescent="0.25">
      <c r="A12" s="1"/>
      <c r="B12" s="1"/>
      <c r="C12" s="1"/>
      <c r="D12" s="1"/>
      <c r="E12" s="1"/>
      <c r="F12" s="1"/>
      <c r="G12" s="1"/>
      <c r="H12" s="236" t="s">
        <v>164</v>
      </c>
      <c r="I12" s="236"/>
      <c r="J12" s="236"/>
      <c r="K12" s="236"/>
      <c r="L12" s="1"/>
      <c r="M12" s="37"/>
      <c r="N12" s="37"/>
      <c r="O12" s="37"/>
      <c r="P12" s="37"/>
      <c r="Q12" s="37"/>
      <c r="R12" s="37"/>
      <c r="S12" s="37"/>
      <c r="T12" s="37"/>
      <c r="U12" s="37"/>
      <c r="V12" s="37"/>
    </row>
    <row r="13" spans="1:22" ht="15.75" customHeight="1" x14ac:dyDescent="0.25">
      <c r="A13" s="1"/>
      <c r="B13" s="1"/>
      <c r="C13" s="1"/>
      <c r="D13" s="1"/>
      <c r="E13" s="1"/>
      <c r="F13" s="1"/>
      <c r="G13" s="1"/>
      <c r="H13" s="236"/>
      <c r="I13" s="236"/>
      <c r="J13" s="236"/>
      <c r="K13" s="236"/>
      <c r="L13" s="1"/>
      <c r="M13" s="37"/>
      <c r="N13" s="37"/>
      <c r="O13" s="37"/>
      <c r="P13" s="37"/>
      <c r="Q13" s="37"/>
      <c r="R13" s="37"/>
      <c r="S13" s="37"/>
      <c r="T13" s="37"/>
      <c r="U13" s="37"/>
      <c r="V13" s="37"/>
    </row>
    <row r="14" spans="1:22" ht="15.75" customHeight="1" x14ac:dyDescent="0.25">
      <c r="A14" s="1"/>
      <c r="B14" s="1"/>
      <c r="C14" s="1"/>
      <c r="D14" s="1"/>
      <c r="E14" s="1"/>
      <c r="F14" s="1"/>
      <c r="G14" s="1"/>
      <c r="H14" s="236"/>
      <c r="I14" s="236"/>
      <c r="J14" s="236"/>
      <c r="K14" s="236"/>
      <c r="L14" s="1"/>
      <c r="M14" s="37"/>
      <c r="N14" s="37"/>
      <c r="O14" s="37"/>
      <c r="P14" s="37"/>
      <c r="Q14" s="37"/>
      <c r="R14" s="37"/>
      <c r="S14" s="37"/>
      <c r="T14" s="37"/>
      <c r="U14" s="37"/>
      <c r="V14" s="37"/>
    </row>
    <row r="15" spans="1:22" ht="15.75" customHeight="1" x14ac:dyDescent="0.25">
      <c r="A15" s="1"/>
      <c r="B15" s="1"/>
      <c r="C15" s="1"/>
      <c r="D15" s="1"/>
      <c r="E15" s="1"/>
      <c r="F15" s="1"/>
      <c r="G15" s="1"/>
      <c r="H15" s="236"/>
      <c r="I15" s="236"/>
      <c r="J15" s="236"/>
      <c r="K15" s="236"/>
      <c r="L15" s="1"/>
      <c r="M15" s="37"/>
      <c r="N15" s="37"/>
      <c r="O15" s="37"/>
      <c r="P15" s="37"/>
      <c r="Q15" s="37"/>
      <c r="R15" s="37"/>
      <c r="S15" s="37"/>
      <c r="T15" s="37"/>
      <c r="U15" s="37"/>
      <c r="V15" s="37"/>
    </row>
    <row r="16" spans="1:22" ht="15.75" customHeight="1" x14ac:dyDescent="0.25">
      <c r="A16" s="1"/>
      <c r="B16" s="1"/>
      <c r="C16" s="1"/>
      <c r="D16" s="1"/>
      <c r="E16" s="1"/>
      <c r="F16" s="1"/>
      <c r="G16" s="1"/>
      <c r="H16" s="236"/>
      <c r="I16" s="236"/>
      <c r="J16" s="236"/>
      <c r="K16" s="236"/>
      <c r="L16" s="1"/>
      <c r="M16" s="37"/>
      <c r="N16" s="37"/>
      <c r="O16" s="37"/>
      <c r="P16" s="37"/>
      <c r="Q16" s="37"/>
      <c r="R16" s="37"/>
      <c r="S16" s="37"/>
      <c r="T16" s="37"/>
      <c r="U16" s="37"/>
      <c r="V16" s="37"/>
    </row>
    <row r="17" spans="1:22" ht="15.75" customHeight="1" x14ac:dyDescent="0.25">
      <c r="A17" s="1"/>
      <c r="B17" s="1"/>
      <c r="C17" s="1"/>
      <c r="D17" s="1"/>
      <c r="E17" s="1"/>
      <c r="F17" s="1"/>
      <c r="G17" s="1"/>
      <c r="H17" s="236" t="s">
        <v>165</v>
      </c>
      <c r="I17" s="236"/>
      <c r="J17" s="236"/>
      <c r="K17" s="236"/>
      <c r="L17" s="1"/>
      <c r="M17" s="37"/>
      <c r="N17" s="37"/>
      <c r="O17" s="37"/>
      <c r="P17" s="37"/>
      <c r="Q17" s="37"/>
      <c r="R17" s="37"/>
      <c r="S17" s="37"/>
      <c r="T17" s="37"/>
      <c r="U17" s="37"/>
      <c r="V17" s="37"/>
    </row>
    <row r="18" spans="1:22" ht="15.75" customHeight="1" x14ac:dyDescent="0.25">
      <c r="A18" s="1"/>
      <c r="B18" s="1"/>
      <c r="C18" s="1"/>
      <c r="D18" s="1"/>
      <c r="E18" s="1"/>
      <c r="F18" s="1"/>
      <c r="G18" s="1"/>
      <c r="H18" s="236"/>
      <c r="I18" s="236"/>
      <c r="J18" s="236"/>
      <c r="K18" s="236"/>
      <c r="L18" s="1"/>
      <c r="M18" s="37"/>
      <c r="N18" s="37"/>
      <c r="O18" s="37"/>
      <c r="P18" s="37"/>
      <c r="Q18" s="37"/>
      <c r="R18" s="37"/>
      <c r="S18" s="37"/>
      <c r="T18" s="37"/>
      <c r="U18" s="37"/>
      <c r="V18" s="37"/>
    </row>
    <row r="19" spans="1:22" ht="15.75" customHeight="1" x14ac:dyDescent="0.25">
      <c r="A19" s="1"/>
      <c r="B19" s="1"/>
      <c r="C19" s="1"/>
      <c r="D19" s="1"/>
      <c r="E19" s="1"/>
      <c r="F19" s="1"/>
      <c r="G19" s="1"/>
      <c r="H19" s="236"/>
      <c r="I19" s="236"/>
      <c r="J19" s="236"/>
      <c r="K19" s="236"/>
      <c r="L19" s="1"/>
      <c r="M19" s="37"/>
      <c r="N19" s="37"/>
      <c r="O19" s="37"/>
      <c r="P19" s="37"/>
      <c r="Q19" s="37"/>
      <c r="R19" s="37"/>
      <c r="S19" s="37"/>
      <c r="T19" s="37"/>
      <c r="U19" s="37"/>
      <c r="V19" s="37"/>
    </row>
    <row r="20" spans="1:22" ht="15.75" customHeight="1" x14ac:dyDescent="0.25">
      <c r="A20" s="1"/>
      <c r="B20" s="1"/>
      <c r="C20" s="1"/>
      <c r="D20" s="1"/>
      <c r="E20" s="1"/>
      <c r="F20" s="1"/>
      <c r="G20" s="1"/>
      <c r="H20" s="236"/>
      <c r="I20" s="236"/>
      <c r="J20" s="236"/>
      <c r="K20" s="236"/>
      <c r="L20" s="1"/>
      <c r="M20" s="37"/>
      <c r="N20" s="37"/>
      <c r="O20" s="37"/>
      <c r="P20" s="37"/>
      <c r="Q20" s="37"/>
      <c r="R20" s="37"/>
      <c r="S20" s="37"/>
      <c r="T20" s="37"/>
      <c r="U20" s="37"/>
      <c r="V20" s="37"/>
    </row>
    <row r="21" spans="1:22" ht="15.75" customHeight="1" x14ac:dyDescent="0.25">
      <c r="A21" s="1"/>
      <c r="B21" s="1"/>
      <c r="C21" s="1"/>
      <c r="D21" s="1"/>
      <c r="E21" s="1"/>
      <c r="F21" s="1"/>
      <c r="G21" s="1"/>
      <c r="H21" s="1"/>
      <c r="I21" s="1"/>
      <c r="J21" s="1"/>
      <c r="K21" s="1"/>
      <c r="L21" s="1"/>
      <c r="M21" s="37"/>
      <c r="N21" s="37"/>
      <c r="O21" s="37"/>
      <c r="P21" s="37"/>
      <c r="Q21" s="37"/>
      <c r="R21" s="37"/>
      <c r="S21" s="37"/>
      <c r="T21" s="37"/>
      <c r="U21" s="37"/>
      <c r="V21" s="37"/>
    </row>
    <row r="22" spans="1:22" ht="15.75" customHeight="1" thickBot="1" x14ac:dyDescent="0.3">
      <c r="A22" s="1"/>
      <c r="B22" s="52" t="s">
        <v>166</v>
      </c>
      <c r="C22" s="229" t="s">
        <v>167</v>
      </c>
      <c r="D22" s="229"/>
      <c r="E22" s="229"/>
      <c r="F22" s="229"/>
      <c r="G22" s="229"/>
      <c r="H22" s="229"/>
      <c r="I22" s="229"/>
      <c r="J22" s="229"/>
      <c r="K22" s="229"/>
      <c r="L22" s="1"/>
      <c r="M22" s="37"/>
      <c r="N22" s="37"/>
      <c r="O22" s="37"/>
      <c r="P22" s="37"/>
      <c r="Q22" s="37"/>
      <c r="R22" s="37"/>
      <c r="S22" s="37"/>
      <c r="T22" s="37"/>
      <c r="U22" s="37"/>
      <c r="V22" s="37"/>
    </row>
    <row r="23" spans="1:22" ht="15.75" customHeight="1" x14ac:dyDescent="0.25">
      <c r="A23" s="1"/>
      <c r="B23" s="300" t="s">
        <v>168</v>
      </c>
      <c r="C23" s="301"/>
      <c r="D23" s="301"/>
      <c r="E23" s="301"/>
      <c r="F23" s="301"/>
      <c r="G23" s="301"/>
      <c r="H23" s="301"/>
      <c r="I23" s="301"/>
      <c r="J23" s="301"/>
      <c r="K23" s="302"/>
      <c r="L23" s="1"/>
      <c r="M23" s="37"/>
      <c r="N23" s="37"/>
      <c r="O23" s="37"/>
      <c r="P23" s="37"/>
      <c r="Q23" s="37"/>
      <c r="R23" s="37"/>
      <c r="S23" s="37"/>
      <c r="T23" s="37"/>
      <c r="U23" s="37"/>
      <c r="V23" s="37"/>
    </row>
    <row r="24" spans="1:22" ht="15.75" customHeight="1" x14ac:dyDescent="0.25">
      <c r="A24" s="1"/>
      <c r="B24" s="51" t="s">
        <v>169</v>
      </c>
      <c r="C24" s="298" t="s">
        <v>170</v>
      </c>
      <c r="D24" s="298"/>
      <c r="E24" s="298"/>
      <c r="F24" s="298"/>
      <c r="G24" s="298"/>
      <c r="H24" s="298"/>
      <c r="I24" s="298"/>
      <c r="J24" s="298"/>
      <c r="K24" s="299"/>
      <c r="L24" s="51" t="s">
        <v>169</v>
      </c>
      <c r="M24" s="37"/>
      <c r="N24" s="37"/>
      <c r="O24" s="37"/>
      <c r="P24" s="37"/>
      <c r="Q24" s="37"/>
      <c r="R24" s="37"/>
      <c r="S24" s="37"/>
      <c r="T24" s="37"/>
      <c r="U24" s="37"/>
      <c r="V24" s="37"/>
    </row>
    <row r="25" spans="1:22" ht="15.75" customHeight="1" thickBot="1" x14ac:dyDescent="0.3">
      <c r="A25" s="1"/>
      <c r="B25" s="27" t="s">
        <v>171</v>
      </c>
      <c r="C25" s="94">
        <f>N27</f>
        <v>117.33333333333331</v>
      </c>
      <c r="D25" s="94">
        <f>(+C25+6)</f>
        <v>123.33333333333331</v>
      </c>
      <c r="E25" s="94">
        <f t="shared" ref="E25:K25" si="0">(+D25+6)</f>
        <v>129.33333333333331</v>
      </c>
      <c r="F25" s="94">
        <f t="shared" si="0"/>
        <v>135.33333333333331</v>
      </c>
      <c r="G25" s="94">
        <f t="shared" si="0"/>
        <v>141.33333333333331</v>
      </c>
      <c r="H25" s="94">
        <f t="shared" si="0"/>
        <v>147.33333333333331</v>
      </c>
      <c r="I25" s="94">
        <f t="shared" si="0"/>
        <v>153.33333333333331</v>
      </c>
      <c r="J25" s="94">
        <f t="shared" si="0"/>
        <v>159.33333333333331</v>
      </c>
      <c r="K25" s="94">
        <f t="shared" si="0"/>
        <v>165.33333333333331</v>
      </c>
      <c r="L25" s="27" t="s">
        <v>171</v>
      </c>
      <c r="M25" s="37"/>
      <c r="N25" s="37"/>
      <c r="O25" s="37"/>
      <c r="P25" s="37"/>
      <c r="Q25" s="37"/>
      <c r="R25" s="37"/>
      <c r="S25" s="37"/>
      <c r="T25" s="37"/>
      <c r="U25" s="37"/>
      <c r="V25" s="37"/>
    </row>
    <row r="26" spans="1:22" ht="15.75" customHeight="1" thickBot="1" x14ac:dyDescent="0.3">
      <c r="A26" s="1"/>
      <c r="B26" s="24">
        <v>300</v>
      </c>
      <c r="C26" s="14">
        <f t="shared" ref="C26:K35" si="1">ROUNDUP(+MIN((15000*8*$J$6*144)/(C$25*$B26^2),(($B26/120)*384*144*10000000*$J$4)/(5*C$25*$B26^4)),0)</f>
        <v>6</v>
      </c>
      <c r="D26" s="14">
        <f t="shared" si="1"/>
        <v>5</v>
      </c>
      <c r="E26" s="14">
        <f t="shared" si="1"/>
        <v>5</v>
      </c>
      <c r="F26" s="14">
        <f t="shared" si="1"/>
        <v>5</v>
      </c>
      <c r="G26" s="14">
        <f t="shared" si="1"/>
        <v>5</v>
      </c>
      <c r="H26" s="14">
        <f t="shared" si="1"/>
        <v>5</v>
      </c>
      <c r="I26" s="14">
        <f t="shared" si="1"/>
        <v>4</v>
      </c>
      <c r="J26" s="14">
        <f t="shared" si="1"/>
        <v>4</v>
      </c>
      <c r="K26" s="14">
        <f t="shared" si="1"/>
        <v>4</v>
      </c>
      <c r="L26" s="24">
        <v>96</v>
      </c>
      <c r="M26" s="37"/>
      <c r="N26" s="315" t="s">
        <v>172</v>
      </c>
      <c r="O26" s="316"/>
      <c r="P26" s="317"/>
      <c r="Q26" s="37"/>
      <c r="R26" s="37"/>
      <c r="S26" s="37"/>
      <c r="T26" s="37"/>
      <c r="U26" s="37"/>
      <c r="V26" s="37"/>
    </row>
    <row r="27" spans="1:22" ht="15.75" customHeight="1" thickBot="1" x14ac:dyDescent="0.3">
      <c r="A27" s="1"/>
      <c r="B27" s="25">
        <f>+B26-6</f>
        <v>294</v>
      </c>
      <c r="C27" s="14">
        <f t="shared" si="1"/>
        <v>6</v>
      </c>
      <c r="D27" s="14">
        <f t="shared" si="1"/>
        <v>6</v>
      </c>
      <c r="E27" s="14">
        <f t="shared" si="1"/>
        <v>5</v>
      </c>
      <c r="F27" s="14">
        <f t="shared" si="1"/>
        <v>5</v>
      </c>
      <c r="G27" s="14">
        <f t="shared" si="1"/>
        <v>5</v>
      </c>
      <c r="H27" s="14">
        <f t="shared" si="1"/>
        <v>5</v>
      </c>
      <c r="I27" s="14">
        <f t="shared" si="1"/>
        <v>5</v>
      </c>
      <c r="J27" s="14">
        <f t="shared" si="1"/>
        <v>4</v>
      </c>
      <c r="K27" s="14">
        <f t="shared" si="1"/>
        <v>4</v>
      </c>
      <c r="L27" s="25">
        <f t="shared" ref="L27:L60" si="2">+L26+6</f>
        <v>102</v>
      </c>
      <c r="M27" s="37"/>
      <c r="N27" s="282">
        <f>W67*12</f>
        <v>117.33333333333331</v>
      </c>
      <c r="O27" s="283"/>
      <c r="P27" s="284"/>
      <c r="Q27" s="98">
        <f>MATCH(N27,C25:G25,0)</f>
        <v>1</v>
      </c>
      <c r="R27" s="37"/>
      <c r="S27" s="37"/>
      <c r="T27" s="37"/>
      <c r="U27" s="37"/>
      <c r="V27" s="37"/>
    </row>
    <row r="28" spans="1:22" ht="15.75" customHeight="1" thickBot="1" x14ac:dyDescent="0.3">
      <c r="A28" s="1"/>
      <c r="B28" s="25">
        <f>+B27-6</f>
        <v>288</v>
      </c>
      <c r="C28" s="14">
        <f t="shared" si="1"/>
        <v>6</v>
      </c>
      <c r="D28" s="14">
        <f t="shared" si="1"/>
        <v>6</v>
      </c>
      <c r="E28" s="14">
        <f t="shared" si="1"/>
        <v>6</v>
      </c>
      <c r="F28" s="14">
        <f t="shared" si="1"/>
        <v>5</v>
      </c>
      <c r="G28" s="14">
        <f t="shared" si="1"/>
        <v>5</v>
      </c>
      <c r="H28" s="14">
        <f t="shared" si="1"/>
        <v>5</v>
      </c>
      <c r="I28" s="14">
        <f t="shared" si="1"/>
        <v>5</v>
      </c>
      <c r="J28" s="14">
        <f t="shared" si="1"/>
        <v>5</v>
      </c>
      <c r="K28" s="14">
        <f t="shared" si="1"/>
        <v>5</v>
      </c>
      <c r="L28" s="25">
        <f t="shared" si="2"/>
        <v>108</v>
      </c>
      <c r="M28" s="37"/>
      <c r="N28" s="285" t="s">
        <v>173</v>
      </c>
      <c r="O28" s="286"/>
      <c r="P28" s="287"/>
      <c r="Q28" s="96"/>
      <c r="R28" s="37"/>
      <c r="S28" s="37"/>
      <c r="T28" s="37"/>
      <c r="U28" s="37"/>
      <c r="V28" s="37"/>
    </row>
    <row r="29" spans="1:22" ht="15.75" customHeight="1" thickBot="1" x14ac:dyDescent="0.3">
      <c r="A29" s="1"/>
      <c r="B29" s="25">
        <f t="shared" ref="B29:B60" si="3">+B28-6</f>
        <v>282</v>
      </c>
      <c r="C29" s="14">
        <f t="shared" si="1"/>
        <v>7</v>
      </c>
      <c r="D29" s="14">
        <f t="shared" si="1"/>
        <v>6</v>
      </c>
      <c r="E29" s="14">
        <f t="shared" si="1"/>
        <v>6</v>
      </c>
      <c r="F29" s="14">
        <f t="shared" si="1"/>
        <v>6</v>
      </c>
      <c r="G29" s="14">
        <f t="shared" si="1"/>
        <v>6</v>
      </c>
      <c r="H29" s="14">
        <f t="shared" si="1"/>
        <v>5</v>
      </c>
      <c r="I29" s="14">
        <f t="shared" si="1"/>
        <v>5</v>
      </c>
      <c r="J29" s="14">
        <f t="shared" si="1"/>
        <v>5</v>
      </c>
      <c r="K29" s="14">
        <f t="shared" si="1"/>
        <v>5</v>
      </c>
      <c r="L29" s="25">
        <f t="shared" si="2"/>
        <v>114</v>
      </c>
      <c r="M29" s="37"/>
      <c r="N29" s="318">
        <f>ROUNDUP(('Design Loads'!Q57),0)</f>
        <v>22</v>
      </c>
      <c r="O29" s="319"/>
      <c r="P29" s="320"/>
      <c r="Q29" s="97">
        <f>MATCH(N29,C26:C60,1)</f>
        <v>22</v>
      </c>
      <c r="R29" s="37"/>
      <c r="S29" s="37"/>
      <c r="T29" s="37"/>
      <c r="U29" s="37"/>
      <c r="V29" s="37"/>
    </row>
    <row r="30" spans="1:22" ht="15.75" customHeight="1" thickBot="1" x14ac:dyDescent="0.3">
      <c r="A30" s="1"/>
      <c r="B30" s="25">
        <f t="shared" si="3"/>
        <v>276</v>
      </c>
      <c r="C30" s="14">
        <f t="shared" si="1"/>
        <v>7</v>
      </c>
      <c r="D30" s="14">
        <f t="shared" si="1"/>
        <v>7</v>
      </c>
      <c r="E30" s="14">
        <f t="shared" si="1"/>
        <v>6</v>
      </c>
      <c r="F30" s="14">
        <f t="shared" si="1"/>
        <v>6</v>
      </c>
      <c r="G30" s="14">
        <f t="shared" si="1"/>
        <v>6</v>
      </c>
      <c r="H30" s="14">
        <f t="shared" si="1"/>
        <v>6</v>
      </c>
      <c r="I30" s="14">
        <f t="shared" si="1"/>
        <v>5</v>
      </c>
      <c r="J30" s="14">
        <f t="shared" si="1"/>
        <v>5</v>
      </c>
      <c r="K30" s="14">
        <f t="shared" si="1"/>
        <v>5</v>
      </c>
      <c r="L30" s="25">
        <f t="shared" si="2"/>
        <v>120</v>
      </c>
      <c r="M30" s="37"/>
      <c r="N30" s="269" t="s">
        <v>174</v>
      </c>
      <c r="O30" s="270"/>
      <c r="P30" s="271"/>
      <c r="Q30" s="125"/>
      <c r="R30" s="101" t="s">
        <v>0</v>
      </c>
      <c r="S30" s="37"/>
      <c r="T30" s="37"/>
      <c r="U30" s="37"/>
      <c r="V30" s="37"/>
    </row>
    <row r="31" spans="1:22" ht="15.75" customHeight="1" thickBot="1" x14ac:dyDescent="0.3">
      <c r="A31" s="1"/>
      <c r="B31" s="25">
        <f t="shared" si="3"/>
        <v>270</v>
      </c>
      <c r="C31" s="14">
        <f t="shared" si="1"/>
        <v>7</v>
      </c>
      <c r="D31" s="14">
        <f t="shared" si="1"/>
        <v>7</v>
      </c>
      <c r="E31" s="14">
        <f t="shared" si="1"/>
        <v>7</v>
      </c>
      <c r="F31" s="14">
        <f t="shared" si="1"/>
        <v>7</v>
      </c>
      <c r="G31" s="14">
        <f t="shared" si="1"/>
        <v>6</v>
      </c>
      <c r="H31" s="14">
        <f t="shared" si="1"/>
        <v>6</v>
      </c>
      <c r="I31" s="14">
        <f t="shared" si="1"/>
        <v>6</v>
      </c>
      <c r="J31" s="14">
        <f t="shared" si="1"/>
        <v>6</v>
      </c>
      <c r="K31" s="14">
        <f t="shared" si="1"/>
        <v>5</v>
      </c>
      <c r="L31" s="25">
        <f t="shared" si="2"/>
        <v>126</v>
      </c>
      <c r="M31" s="37"/>
      <c r="N31" s="272">
        <f>INDEX(B26:B60,MATCH(N29,C26:C60,1),1)</f>
        <v>174</v>
      </c>
      <c r="O31" s="273"/>
      <c r="P31" s="274"/>
      <c r="R31" s="37"/>
      <c r="S31" s="37"/>
      <c r="T31" s="37"/>
      <c r="U31" s="37"/>
      <c r="V31" s="37"/>
    </row>
    <row r="32" spans="1:22" ht="15.75" customHeight="1" thickBot="1" x14ac:dyDescent="0.3">
      <c r="A32" s="1"/>
      <c r="B32" s="25">
        <f t="shared" si="3"/>
        <v>264</v>
      </c>
      <c r="C32" s="14">
        <f t="shared" si="1"/>
        <v>8</v>
      </c>
      <c r="D32" s="14">
        <f t="shared" si="1"/>
        <v>8</v>
      </c>
      <c r="E32" s="14">
        <f t="shared" si="1"/>
        <v>7</v>
      </c>
      <c r="F32" s="14">
        <f t="shared" si="1"/>
        <v>7</v>
      </c>
      <c r="G32" s="14">
        <f t="shared" si="1"/>
        <v>7</v>
      </c>
      <c r="H32" s="14">
        <f t="shared" si="1"/>
        <v>6</v>
      </c>
      <c r="I32" s="14">
        <f t="shared" si="1"/>
        <v>6</v>
      </c>
      <c r="J32" s="14">
        <f t="shared" si="1"/>
        <v>6</v>
      </c>
      <c r="K32" s="14">
        <f t="shared" si="1"/>
        <v>6</v>
      </c>
      <c r="L32" s="25">
        <f t="shared" si="2"/>
        <v>132</v>
      </c>
      <c r="M32" s="37"/>
      <c r="N32" s="285" t="s">
        <v>175</v>
      </c>
      <c r="O32" s="286"/>
      <c r="P32" s="287"/>
      <c r="Q32" s="120"/>
      <c r="R32" s="37"/>
      <c r="S32" s="37"/>
      <c r="T32" s="37"/>
      <c r="U32" s="37"/>
      <c r="V32" s="37"/>
    </row>
    <row r="33" spans="1:22" ht="15.75" customHeight="1" thickBot="1" x14ac:dyDescent="0.3">
      <c r="A33" s="1"/>
      <c r="B33" s="25">
        <f t="shared" si="3"/>
        <v>258</v>
      </c>
      <c r="C33" s="14">
        <f t="shared" si="1"/>
        <v>8</v>
      </c>
      <c r="D33" s="14">
        <f t="shared" si="1"/>
        <v>8</v>
      </c>
      <c r="E33" s="14">
        <f t="shared" si="1"/>
        <v>8</v>
      </c>
      <c r="F33" s="14">
        <f t="shared" si="1"/>
        <v>7</v>
      </c>
      <c r="G33" s="14">
        <f t="shared" si="1"/>
        <v>7</v>
      </c>
      <c r="H33" s="14">
        <f t="shared" si="1"/>
        <v>7</v>
      </c>
      <c r="I33" s="14">
        <f t="shared" si="1"/>
        <v>7</v>
      </c>
      <c r="J33" s="14">
        <f t="shared" si="1"/>
        <v>6</v>
      </c>
      <c r="K33" s="14">
        <f t="shared" si="1"/>
        <v>6</v>
      </c>
      <c r="L33" s="25">
        <f t="shared" si="2"/>
        <v>138</v>
      </c>
      <c r="M33" s="37"/>
      <c r="N33" s="328">
        <f>N87</f>
        <v>234</v>
      </c>
      <c r="O33" s="329"/>
      <c r="P33" s="330"/>
      <c r="Q33" s="120"/>
      <c r="R33" s="37"/>
      <c r="S33" s="37"/>
      <c r="T33" s="37"/>
      <c r="U33" s="37"/>
      <c r="V33" s="37"/>
    </row>
    <row r="34" spans="1:22" ht="15.75" customHeight="1" thickBot="1" x14ac:dyDescent="0.3">
      <c r="A34" s="1"/>
      <c r="B34" s="25">
        <f t="shared" si="3"/>
        <v>252</v>
      </c>
      <c r="C34" s="14">
        <f t="shared" si="1"/>
        <v>9</v>
      </c>
      <c r="D34" s="14">
        <f t="shared" si="1"/>
        <v>9</v>
      </c>
      <c r="E34" s="14">
        <f t="shared" si="1"/>
        <v>8</v>
      </c>
      <c r="F34" s="14">
        <f t="shared" si="1"/>
        <v>8</v>
      </c>
      <c r="G34" s="14">
        <f t="shared" si="1"/>
        <v>8</v>
      </c>
      <c r="H34" s="14">
        <f t="shared" si="1"/>
        <v>7</v>
      </c>
      <c r="I34" s="14">
        <f t="shared" si="1"/>
        <v>7</v>
      </c>
      <c r="J34" s="14">
        <f t="shared" si="1"/>
        <v>7</v>
      </c>
      <c r="K34" s="14">
        <f t="shared" si="1"/>
        <v>7</v>
      </c>
      <c r="L34" s="25">
        <f t="shared" si="2"/>
        <v>144</v>
      </c>
      <c r="M34" s="37"/>
      <c r="N34" s="37"/>
      <c r="O34" s="37"/>
      <c r="P34" s="37"/>
      <c r="Q34" s="37"/>
      <c r="R34" s="37"/>
      <c r="S34" s="37"/>
      <c r="T34" s="37"/>
      <c r="U34" s="37"/>
      <c r="V34" s="37"/>
    </row>
    <row r="35" spans="1:22" ht="15.75" customHeight="1" thickBot="1" x14ac:dyDescent="0.3">
      <c r="A35" s="1"/>
      <c r="B35" s="25">
        <f t="shared" si="3"/>
        <v>246</v>
      </c>
      <c r="C35" s="14">
        <f t="shared" si="1"/>
        <v>10</v>
      </c>
      <c r="D35" s="14">
        <f t="shared" si="1"/>
        <v>9</v>
      </c>
      <c r="E35" s="14">
        <f t="shared" si="1"/>
        <v>9</v>
      </c>
      <c r="F35" s="14">
        <f t="shared" si="1"/>
        <v>8</v>
      </c>
      <c r="G35" s="14">
        <f t="shared" si="1"/>
        <v>8</v>
      </c>
      <c r="H35" s="14">
        <f t="shared" si="1"/>
        <v>8</v>
      </c>
      <c r="I35" s="14">
        <f t="shared" si="1"/>
        <v>8</v>
      </c>
      <c r="J35" s="14">
        <f t="shared" si="1"/>
        <v>7</v>
      </c>
      <c r="K35" s="14">
        <f t="shared" si="1"/>
        <v>7</v>
      </c>
      <c r="L35" s="25">
        <f t="shared" si="2"/>
        <v>150</v>
      </c>
      <c r="M35" s="37"/>
      <c r="N35" s="37"/>
      <c r="O35" s="37"/>
      <c r="P35" s="37"/>
      <c r="Q35" s="37"/>
      <c r="R35" s="37"/>
      <c r="S35" s="37"/>
      <c r="T35" s="37"/>
      <c r="U35" s="37"/>
      <c r="V35" s="37"/>
    </row>
    <row r="36" spans="1:22" ht="15.75" customHeight="1" thickBot="1" x14ac:dyDescent="0.3">
      <c r="A36" s="1"/>
      <c r="B36" s="25">
        <f t="shared" si="3"/>
        <v>240</v>
      </c>
      <c r="C36" s="14">
        <f t="shared" ref="C36:K45" si="4">ROUNDUP(+MIN((15000*8*$J$6*144)/(C$25*$B36^2),(($B36/120)*384*144*10000000*$J$4)/(5*C$25*$B36^4)),0)</f>
        <v>10</v>
      </c>
      <c r="D36" s="14">
        <f t="shared" si="4"/>
        <v>10</v>
      </c>
      <c r="E36" s="14">
        <f t="shared" si="4"/>
        <v>9</v>
      </c>
      <c r="F36" s="14">
        <f t="shared" si="4"/>
        <v>9</v>
      </c>
      <c r="G36" s="14">
        <f t="shared" si="4"/>
        <v>9</v>
      </c>
      <c r="H36" s="14">
        <f t="shared" si="4"/>
        <v>8</v>
      </c>
      <c r="I36" s="14">
        <f t="shared" si="4"/>
        <v>8</v>
      </c>
      <c r="J36" s="14">
        <f t="shared" si="4"/>
        <v>8</v>
      </c>
      <c r="K36" s="14">
        <f t="shared" si="4"/>
        <v>8</v>
      </c>
      <c r="L36" s="25">
        <f t="shared" si="2"/>
        <v>156</v>
      </c>
      <c r="M36" s="37"/>
      <c r="N36" s="37"/>
      <c r="O36" s="37"/>
      <c r="P36" s="37"/>
      <c r="Q36" s="37"/>
      <c r="R36" s="37"/>
      <c r="S36" s="37"/>
      <c r="T36" s="37"/>
      <c r="U36" s="37"/>
      <c r="V36" s="37"/>
    </row>
    <row r="37" spans="1:22" ht="15.75" customHeight="1" thickBot="1" x14ac:dyDescent="0.3">
      <c r="A37" s="1"/>
      <c r="B37" s="25">
        <f t="shared" si="3"/>
        <v>234</v>
      </c>
      <c r="C37" s="14">
        <f t="shared" si="4"/>
        <v>11</v>
      </c>
      <c r="D37" s="14">
        <f t="shared" si="4"/>
        <v>11</v>
      </c>
      <c r="E37" s="14">
        <f t="shared" si="4"/>
        <v>10</v>
      </c>
      <c r="F37" s="14">
        <f t="shared" si="4"/>
        <v>10</v>
      </c>
      <c r="G37" s="14">
        <f t="shared" si="4"/>
        <v>9</v>
      </c>
      <c r="H37" s="14">
        <f t="shared" si="4"/>
        <v>9</v>
      </c>
      <c r="I37" s="14">
        <f t="shared" si="4"/>
        <v>9</v>
      </c>
      <c r="J37" s="14">
        <f t="shared" si="4"/>
        <v>8</v>
      </c>
      <c r="K37" s="14">
        <f t="shared" si="4"/>
        <v>8</v>
      </c>
      <c r="L37" s="25">
        <f t="shared" si="2"/>
        <v>162</v>
      </c>
      <c r="M37" s="37"/>
      <c r="N37" s="37"/>
      <c r="O37" s="37"/>
      <c r="P37" s="37"/>
      <c r="Q37" s="37"/>
      <c r="R37" s="37"/>
      <c r="S37" s="37"/>
      <c r="T37" s="37"/>
      <c r="U37" s="37"/>
      <c r="V37" s="37"/>
    </row>
    <row r="38" spans="1:22" ht="15.75" customHeight="1" thickBot="1" x14ac:dyDescent="0.3">
      <c r="A38" s="1"/>
      <c r="B38" s="25">
        <f t="shared" si="3"/>
        <v>228</v>
      </c>
      <c r="C38" s="14">
        <f t="shared" si="4"/>
        <v>12</v>
      </c>
      <c r="D38" s="14">
        <f t="shared" si="4"/>
        <v>12</v>
      </c>
      <c r="E38" s="14">
        <f t="shared" si="4"/>
        <v>11</v>
      </c>
      <c r="F38" s="14">
        <f t="shared" si="4"/>
        <v>11</v>
      </c>
      <c r="G38" s="14">
        <f t="shared" si="4"/>
        <v>10</v>
      </c>
      <c r="H38" s="14">
        <f t="shared" si="4"/>
        <v>10</v>
      </c>
      <c r="I38" s="14">
        <f t="shared" si="4"/>
        <v>9</v>
      </c>
      <c r="J38" s="14">
        <f t="shared" si="4"/>
        <v>9</v>
      </c>
      <c r="K38" s="14">
        <f t="shared" si="4"/>
        <v>9</v>
      </c>
      <c r="L38" s="25">
        <f t="shared" si="2"/>
        <v>168</v>
      </c>
      <c r="M38" s="37"/>
      <c r="N38" s="37"/>
      <c r="O38" s="37"/>
      <c r="P38" s="37"/>
      <c r="Q38" s="37"/>
      <c r="R38" s="37"/>
      <c r="S38" s="37"/>
      <c r="T38" s="37"/>
      <c r="U38" s="37"/>
      <c r="V38" s="37"/>
    </row>
    <row r="39" spans="1:22" ht="15.75" customHeight="1" thickBot="1" x14ac:dyDescent="0.3">
      <c r="A39" s="1"/>
      <c r="B39" s="25">
        <f t="shared" si="3"/>
        <v>222</v>
      </c>
      <c r="C39" s="14">
        <f t="shared" si="4"/>
        <v>13</v>
      </c>
      <c r="D39" s="14">
        <f t="shared" si="4"/>
        <v>12</v>
      </c>
      <c r="E39" s="14">
        <f t="shared" si="4"/>
        <v>12</v>
      </c>
      <c r="F39" s="14">
        <f t="shared" si="4"/>
        <v>11</v>
      </c>
      <c r="G39" s="14">
        <f t="shared" si="4"/>
        <v>11</v>
      </c>
      <c r="H39" s="14">
        <f t="shared" si="4"/>
        <v>10</v>
      </c>
      <c r="I39" s="14">
        <f t="shared" si="4"/>
        <v>10</v>
      </c>
      <c r="J39" s="14">
        <f t="shared" si="4"/>
        <v>10</v>
      </c>
      <c r="K39" s="14">
        <f t="shared" si="4"/>
        <v>9</v>
      </c>
      <c r="L39" s="25">
        <f t="shared" si="2"/>
        <v>174</v>
      </c>
      <c r="M39" s="37"/>
      <c r="N39" s="37"/>
      <c r="O39" s="37"/>
      <c r="P39" s="37"/>
      <c r="Q39" s="37"/>
      <c r="R39" s="37"/>
      <c r="S39" s="37"/>
      <c r="T39" s="37"/>
      <c r="U39" s="37"/>
      <c r="V39" s="37"/>
    </row>
    <row r="40" spans="1:22" ht="15.75" customHeight="1" thickBot="1" x14ac:dyDescent="0.3">
      <c r="A40" s="1"/>
      <c r="B40" s="25">
        <f t="shared" si="3"/>
        <v>216</v>
      </c>
      <c r="C40" s="14">
        <f t="shared" si="4"/>
        <v>14</v>
      </c>
      <c r="D40" s="14">
        <f t="shared" si="4"/>
        <v>13</v>
      </c>
      <c r="E40" s="14">
        <f t="shared" si="4"/>
        <v>13</v>
      </c>
      <c r="F40" s="14">
        <f t="shared" si="4"/>
        <v>12</v>
      </c>
      <c r="G40" s="14">
        <f t="shared" si="4"/>
        <v>12</v>
      </c>
      <c r="H40" s="14">
        <f t="shared" si="4"/>
        <v>11</v>
      </c>
      <c r="I40" s="14">
        <f t="shared" si="4"/>
        <v>11</v>
      </c>
      <c r="J40" s="14">
        <f t="shared" si="4"/>
        <v>11</v>
      </c>
      <c r="K40" s="14">
        <f t="shared" si="4"/>
        <v>10</v>
      </c>
      <c r="L40" s="25">
        <f t="shared" si="2"/>
        <v>180</v>
      </c>
      <c r="M40" s="37"/>
      <c r="N40" s="37"/>
      <c r="O40" s="37"/>
      <c r="P40" s="37"/>
      <c r="Q40" s="37"/>
      <c r="R40" s="37"/>
      <c r="S40" s="37"/>
      <c r="T40" s="37"/>
      <c r="U40" s="37"/>
      <c r="V40" s="37"/>
    </row>
    <row r="41" spans="1:22" ht="15.75" customHeight="1" thickBot="1" x14ac:dyDescent="0.3">
      <c r="A41" s="1"/>
      <c r="B41" s="25">
        <f t="shared" si="3"/>
        <v>210</v>
      </c>
      <c r="C41" s="14">
        <f t="shared" si="4"/>
        <v>15</v>
      </c>
      <c r="D41" s="14">
        <f t="shared" si="4"/>
        <v>14</v>
      </c>
      <c r="E41" s="14">
        <f t="shared" si="4"/>
        <v>14</v>
      </c>
      <c r="F41" s="14">
        <f t="shared" si="4"/>
        <v>13</v>
      </c>
      <c r="G41" s="14">
        <f t="shared" si="4"/>
        <v>13</v>
      </c>
      <c r="H41" s="14">
        <f t="shared" si="4"/>
        <v>12</v>
      </c>
      <c r="I41" s="14">
        <f t="shared" si="4"/>
        <v>12</v>
      </c>
      <c r="J41" s="14">
        <f t="shared" si="4"/>
        <v>11</v>
      </c>
      <c r="K41" s="14">
        <f t="shared" si="4"/>
        <v>11</v>
      </c>
      <c r="L41" s="25">
        <f t="shared" si="2"/>
        <v>186</v>
      </c>
      <c r="M41" s="37"/>
      <c r="N41" s="37"/>
      <c r="O41" s="37"/>
      <c r="P41" s="37"/>
      <c r="Q41" s="37"/>
      <c r="R41" s="37"/>
      <c r="S41" s="37"/>
      <c r="T41" s="37"/>
      <c r="U41" s="37"/>
      <c r="V41" s="37"/>
    </row>
    <row r="42" spans="1:22" ht="15.75" customHeight="1" thickBot="1" x14ac:dyDescent="0.3">
      <c r="A42" s="1"/>
      <c r="B42" s="25">
        <f t="shared" si="3"/>
        <v>204</v>
      </c>
      <c r="C42" s="14">
        <f t="shared" si="4"/>
        <v>16</v>
      </c>
      <c r="D42" s="14">
        <f t="shared" si="4"/>
        <v>15</v>
      </c>
      <c r="E42" s="14">
        <f t="shared" si="4"/>
        <v>15</v>
      </c>
      <c r="F42" s="14">
        <f t="shared" si="4"/>
        <v>14</v>
      </c>
      <c r="G42" s="14">
        <f t="shared" si="4"/>
        <v>13</v>
      </c>
      <c r="H42" s="14">
        <f t="shared" si="4"/>
        <v>13</v>
      </c>
      <c r="I42" s="14">
        <f t="shared" si="4"/>
        <v>12</v>
      </c>
      <c r="J42" s="14">
        <f t="shared" si="4"/>
        <v>12</v>
      </c>
      <c r="K42" s="14">
        <f t="shared" si="4"/>
        <v>11</v>
      </c>
      <c r="L42" s="25">
        <f t="shared" si="2"/>
        <v>192</v>
      </c>
      <c r="M42" s="37"/>
      <c r="N42" s="37"/>
      <c r="O42" s="37"/>
      <c r="P42" s="37"/>
      <c r="Q42" s="37"/>
      <c r="R42" s="37"/>
      <c r="S42" s="37"/>
      <c r="T42" s="37"/>
      <c r="U42" s="37"/>
      <c r="V42" s="37"/>
    </row>
    <row r="43" spans="1:22" ht="15.75" customHeight="1" thickBot="1" x14ac:dyDescent="0.3">
      <c r="A43" s="1"/>
      <c r="B43" s="25">
        <f t="shared" si="3"/>
        <v>198</v>
      </c>
      <c r="C43" s="14">
        <f t="shared" si="4"/>
        <v>17</v>
      </c>
      <c r="D43" s="14">
        <f t="shared" si="4"/>
        <v>16</v>
      </c>
      <c r="E43" s="14">
        <f t="shared" si="4"/>
        <v>15</v>
      </c>
      <c r="F43" s="14">
        <f t="shared" si="4"/>
        <v>15</v>
      </c>
      <c r="G43" s="14">
        <f t="shared" si="4"/>
        <v>14</v>
      </c>
      <c r="H43" s="14">
        <f t="shared" si="4"/>
        <v>14</v>
      </c>
      <c r="I43" s="14">
        <f t="shared" si="4"/>
        <v>13</v>
      </c>
      <c r="J43" s="14">
        <f t="shared" si="4"/>
        <v>13</v>
      </c>
      <c r="K43" s="14">
        <f t="shared" si="4"/>
        <v>12</v>
      </c>
      <c r="L43" s="25">
        <f t="shared" si="2"/>
        <v>198</v>
      </c>
      <c r="M43" s="37"/>
      <c r="N43" s="37"/>
      <c r="O43" s="37"/>
      <c r="P43" s="37"/>
      <c r="Q43" s="37"/>
      <c r="R43" s="37"/>
      <c r="S43" s="37"/>
      <c r="T43" s="37"/>
      <c r="U43" s="37"/>
      <c r="V43" s="37"/>
    </row>
    <row r="44" spans="1:22" ht="15.75" customHeight="1" thickBot="1" x14ac:dyDescent="0.3">
      <c r="A44" s="1"/>
      <c r="B44" s="25">
        <f t="shared" si="3"/>
        <v>192</v>
      </c>
      <c r="C44" s="14">
        <f t="shared" si="4"/>
        <v>18</v>
      </c>
      <c r="D44" s="14">
        <f t="shared" si="4"/>
        <v>17</v>
      </c>
      <c r="E44" s="14">
        <f t="shared" si="4"/>
        <v>16</v>
      </c>
      <c r="F44" s="14">
        <f t="shared" si="4"/>
        <v>16</v>
      </c>
      <c r="G44" s="14">
        <f t="shared" si="4"/>
        <v>15</v>
      </c>
      <c r="H44" s="14">
        <f t="shared" si="4"/>
        <v>14</v>
      </c>
      <c r="I44" s="14">
        <f t="shared" si="4"/>
        <v>14</v>
      </c>
      <c r="J44" s="14">
        <f t="shared" si="4"/>
        <v>13</v>
      </c>
      <c r="K44" s="14">
        <f t="shared" si="4"/>
        <v>13</v>
      </c>
      <c r="L44" s="25">
        <f t="shared" si="2"/>
        <v>204</v>
      </c>
      <c r="M44" s="37"/>
      <c r="N44" s="37"/>
      <c r="O44" s="37"/>
      <c r="P44" s="37"/>
      <c r="Q44" s="37"/>
      <c r="R44" s="37"/>
      <c r="S44" s="37"/>
      <c r="T44" s="37"/>
      <c r="U44" s="37"/>
      <c r="V44" s="37"/>
    </row>
    <row r="45" spans="1:22" ht="15.75" customHeight="1" thickBot="1" x14ac:dyDescent="0.3">
      <c r="A45" s="1"/>
      <c r="B45" s="25">
        <f t="shared" si="3"/>
        <v>186</v>
      </c>
      <c r="C45" s="14">
        <f t="shared" si="4"/>
        <v>19</v>
      </c>
      <c r="D45" s="14">
        <f t="shared" si="4"/>
        <v>18</v>
      </c>
      <c r="E45" s="14">
        <f t="shared" si="4"/>
        <v>17</v>
      </c>
      <c r="F45" s="14">
        <f t="shared" si="4"/>
        <v>17</v>
      </c>
      <c r="G45" s="14">
        <f t="shared" si="4"/>
        <v>16</v>
      </c>
      <c r="H45" s="14">
        <f t="shared" si="4"/>
        <v>15</v>
      </c>
      <c r="I45" s="14">
        <f t="shared" si="4"/>
        <v>15</v>
      </c>
      <c r="J45" s="14">
        <f t="shared" si="4"/>
        <v>14</v>
      </c>
      <c r="K45" s="14">
        <f t="shared" si="4"/>
        <v>14</v>
      </c>
      <c r="L45" s="25">
        <f t="shared" si="2"/>
        <v>210</v>
      </c>
      <c r="M45" s="37"/>
      <c r="N45" s="37"/>
      <c r="O45" s="37"/>
      <c r="P45" s="37"/>
      <c r="Q45" s="37"/>
      <c r="R45" s="37"/>
      <c r="S45" s="37"/>
      <c r="T45" s="37"/>
      <c r="U45" s="37"/>
      <c r="V45" s="37"/>
    </row>
    <row r="46" spans="1:22" ht="15.75" customHeight="1" thickBot="1" x14ac:dyDescent="0.3">
      <c r="A46" s="1"/>
      <c r="B46" s="25">
        <f t="shared" si="3"/>
        <v>180</v>
      </c>
      <c r="C46" s="14">
        <f t="shared" ref="C46:K60" si="5">ROUNDUP(+MIN((15000*8*$J$6*144)/(C$25*$B46^2),(($B46/120)*384*144*10000000*$J$4)/(5*C$25*$B46^4)),0)</f>
        <v>20</v>
      </c>
      <c r="D46" s="14">
        <f t="shared" si="5"/>
        <v>19</v>
      </c>
      <c r="E46" s="14">
        <f t="shared" si="5"/>
        <v>18</v>
      </c>
      <c r="F46" s="14">
        <f t="shared" si="5"/>
        <v>18</v>
      </c>
      <c r="G46" s="14">
        <f t="shared" si="5"/>
        <v>17</v>
      </c>
      <c r="H46" s="14">
        <f t="shared" si="5"/>
        <v>16</v>
      </c>
      <c r="I46" s="14">
        <f t="shared" si="5"/>
        <v>16</v>
      </c>
      <c r="J46" s="14">
        <f t="shared" si="5"/>
        <v>15</v>
      </c>
      <c r="K46" s="14">
        <f t="shared" si="5"/>
        <v>15</v>
      </c>
      <c r="L46" s="25">
        <f t="shared" si="2"/>
        <v>216</v>
      </c>
      <c r="M46" s="37"/>
      <c r="N46" s="37"/>
      <c r="O46" s="37"/>
      <c r="P46" s="37"/>
      <c r="Q46" s="37"/>
      <c r="R46" s="37"/>
      <c r="S46" s="37"/>
      <c r="T46" s="37"/>
      <c r="U46" s="37"/>
      <c r="V46" s="37"/>
    </row>
    <row r="47" spans="1:22" ht="15.75" customHeight="1" thickBot="1" x14ac:dyDescent="0.3">
      <c r="A47" s="1"/>
      <c r="B47" s="25">
        <f t="shared" si="3"/>
        <v>174</v>
      </c>
      <c r="C47" s="14">
        <f t="shared" si="5"/>
        <v>22</v>
      </c>
      <c r="D47" s="14">
        <f t="shared" si="5"/>
        <v>21</v>
      </c>
      <c r="E47" s="14">
        <f t="shared" si="5"/>
        <v>20</v>
      </c>
      <c r="F47" s="14">
        <f t="shared" si="5"/>
        <v>19</v>
      </c>
      <c r="G47" s="14">
        <f t="shared" si="5"/>
        <v>18</v>
      </c>
      <c r="H47" s="14">
        <f t="shared" si="5"/>
        <v>17</v>
      </c>
      <c r="I47" s="14">
        <f t="shared" si="5"/>
        <v>17</v>
      </c>
      <c r="J47" s="14">
        <f t="shared" si="5"/>
        <v>16</v>
      </c>
      <c r="K47" s="14">
        <f t="shared" si="5"/>
        <v>16</v>
      </c>
      <c r="L47" s="25">
        <f t="shared" si="2"/>
        <v>222</v>
      </c>
      <c r="M47" s="37"/>
      <c r="N47" s="37"/>
      <c r="O47" s="37"/>
      <c r="P47" s="37"/>
      <c r="Q47" s="37"/>
      <c r="R47" s="37"/>
      <c r="S47" s="37"/>
      <c r="T47" s="37"/>
      <c r="U47" s="37"/>
      <c r="V47" s="37"/>
    </row>
    <row r="48" spans="1:22" ht="15.75" customHeight="1" thickBot="1" x14ac:dyDescent="0.3">
      <c r="A48" s="1"/>
      <c r="B48" s="25">
        <f t="shared" si="3"/>
        <v>168</v>
      </c>
      <c r="C48" s="14">
        <f t="shared" si="5"/>
        <v>23</v>
      </c>
      <c r="D48" s="14">
        <f t="shared" si="5"/>
        <v>22</v>
      </c>
      <c r="E48" s="14">
        <f t="shared" si="5"/>
        <v>21</v>
      </c>
      <c r="F48" s="14">
        <f t="shared" si="5"/>
        <v>20</v>
      </c>
      <c r="G48" s="14">
        <f t="shared" si="5"/>
        <v>19</v>
      </c>
      <c r="H48" s="14">
        <f t="shared" si="5"/>
        <v>19</v>
      </c>
      <c r="I48" s="14">
        <f t="shared" si="5"/>
        <v>18</v>
      </c>
      <c r="J48" s="14">
        <f t="shared" si="5"/>
        <v>17</v>
      </c>
      <c r="K48" s="14">
        <f t="shared" si="5"/>
        <v>17</v>
      </c>
      <c r="L48" s="25">
        <f t="shared" si="2"/>
        <v>228</v>
      </c>
      <c r="M48" s="37"/>
      <c r="N48" s="37"/>
      <c r="O48" s="37"/>
      <c r="P48" s="37"/>
      <c r="Q48" s="37"/>
      <c r="R48" s="37"/>
      <c r="S48" s="37"/>
      <c r="T48" s="37"/>
      <c r="U48" s="37"/>
      <c r="V48" s="37"/>
    </row>
    <row r="49" spans="1:24" ht="15.75" customHeight="1" thickBot="1" x14ac:dyDescent="0.3">
      <c r="A49" s="1"/>
      <c r="B49" s="25">
        <f t="shared" si="3"/>
        <v>162</v>
      </c>
      <c r="C49" s="14">
        <f t="shared" si="5"/>
        <v>25</v>
      </c>
      <c r="D49" s="14">
        <f t="shared" si="5"/>
        <v>24</v>
      </c>
      <c r="E49" s="14">
        <f t="shared" si="5"/>
        <v>23</v>
      </c>
      <c r="F49" s="14">
        <f t="shared" si="5"/>
        <v>22</v>
      </c>
      <c r="G49" s="14">
        <f t="shared" si="5"/>
        <v>21</v>
      </c>
      <c r="H49" s="14">
        <f t="shared" si="5"/>
        <v>20</v>
      </c>
      <c r="I49" s="14">
        <f t="shared" si="5"/>
        <v>19</v>
      </c>
      <c r="J49" s="14">
        <f t="shared" si="5"/>
        <v>19</v>
      </c>
      <c r="K49" s="14">
        <f t="shared" si="5"/>
        <v>18</v>
      </c>
      <c r="L49" s="25">
        <f t="shared" si="2"/>
        <v>234</v>
      </c>
      <c r="M49" s="37"/>
      <c r="N49" s="37"/>
      <c r="O49" s="37"/>
      <c r="P49" s="37"/>
      <c r="Q49" s="37"/>
      <c r="R49" s="37"/>
      <c r="S49" s="37"/>
      <c r="T49" s="37"/>
      <c r="U49" s="37"/>
      <c r="V49" s="37"/>
    </row>
    <row r="50" spans="1:24" ht="15.75" customHeight="1" thickBot="1" x14ac:dyDescent="0.3">
      <c r="A50" s="1"/>
      <c r="B50" s="25">
        <f t="shared" si="3"/>
        <v>156</v>
      </c>
      <c r="C50" s="14">
        <f t="shared" si="5"/>
        <v>27</v>
      </c>
      <c r="D50" s="14">
        <f t="shared" si="5"/>
        <v>26</v>
      </c>
      <c r="E50" s="14">
        <f t="shared" si="5"/>
        <v>24</v>
      </c>
      <c r="F50" s="14">
        <f t="shared" si="5"/>
        <v>23</v>
      </c>
      <c r="G50" s="14">
        <f t="shared" si="5"/>
        <v>22</v>
      </c>
      <c r="H50" s="14">
        <f t="shared" si="5"/>
        <v>22</v>
      </c>
      <c r="I50" s="14">
        <f t="shared" si="5"/>
        <v>21</v>
      </c>
      <c r="J50" s="14">
        <f t="shared" si="5"/>
        <v>20</v>
      </c>
      <c r="K50" s="14">
        <f t="shared" si="5"/>
        <v>19</v>
      </c>
      <c r="L50" s="25">
        <f t="shared" si="2"/>
        <v>240</v>
      </c>
      <c r="M50" s="37"/>
      <c r="N50" s="37"/>
      <c r="O50" s="37"/>
      <c r="P50" s="37"/>
      <c r="Q50" s="37"/>
      <c r="R50" s="37"/>
      <c r="S50" s="37"/>
      <c r="T50" s="37"/>
      <c r="U50" s="37"/>
      <c r="V50" s="37"/>
    </row>
    <row r="51" spans="1:24" ht="15.75" customHeight="1" thickBot="1" x14ac:dyDescent="0.3">
      <c r="A51" s="1"/>
      <c r="B51" s="25">
        <f t="shared" si="3"/>
        <v>150</v>
      </c>
      <c r="C51" s="14">
        <f t="shared" si="5"/>
        <v>29</v>
      </c>
      <c r="D51" s="14">
        <f t="shared" si="5"/>
        <v>28</v>
      </c>
      <c r="E51" s="14">
        <f t="shared" si="5"/>
        <v>26</v>
      </c>
      <c r="F51" s="14">
        <f t="shared" si="5"/>
        <v>25</v>
      </c>
      <c r="G51" s="14">
        <f t="shared" si="5"/>
        <v>24</v>
      </c>
      <c r="H51" s="14">
        <f t="shared" si="5"/>
        <v>23</v>
      </c>
      <c r="I51" s="14">
        <f t="shared" si="5"/>
        <v>22</v>
      </c>
      <c r="J51" s="14">
        <f t="shared" si="5"/>
        <v>22</v>
      </c>
      <c r="K51" s="14">
        <f t="shared" si="5"/>
        <v>21</v>
      </c>
      <c r="L51" s="25">
        <f t="shared" si="2"/>
        <v>246</v>
      </c>
      <c r="M51" s="37"/>
      <c r="N51" s="37"/>
      <c r="O51" s="37"/>
      <c r="P51" s="37"/>
      <c r="Q51" s="37"/>
      <c r="R51" s="37"/>
      <c r="S51" s="37"/>
      <c r="T51" s="37"/>
      <c r="U51" s="37"/>
      <c r="V51" s="37"/>
    </row>
    <row r="52" spans="1:24" ht="15.75" customHeight="1" thickBot="1" x14ac:dyDescent="0.3">
      <c r="A52" s="1"/>
      <c r="B52" s="25">
        <f t="shared" si="3"/>
        <v>144</v>
      </c>
      <c r="C52" s="14">
        <f t="shared" si="5"/>
        <v>31</v>
      </c>
      <c r="D52" s="14">
        <f t="shared" si="5"/>
        <v>30</v>
      </c>
      <c r="E52" s="14">
        <f t="shared" si="5"/>
        <v>29</v>
      </c>
      <c r="F52" s="14">
        <f t="shared" si="5"/>
        <v>27</v>
      </c>
      <c r="G52" s="14">
        <f t="shared" si="5"/>
        <v>26</v>
      </c>
      <c r="H52" s="14">
        <f t="shared" si="5"/>
        <v>25</v>
      </c>
      <c r="I52" s="14">
        <f t="shared" si="5"/>
        <v>24</v>
      </c>
      <c r="J52" s="14">
        <f t="shared" si="5"/>
        <v>23</v>
      </c>
      <c r="K52" s="14">
        <f t="shared" si="5"/>
        <v>22</v>
      </c>
      <c r="L52" s="25">
        <f t="shared" si="2"/>
        <v>252</v>
      </c>
      <c r="M52" s="37"/>
      <c r="N52" s="37"/>
      <c r="O52" s="37"/>
      <c r="P52" s="37"/>
      <c r="Q52" s="37"/>
      <c r="R52" s="37"/>
      <c r="S52" s="37"/>
      <c r="T52" s="37"/>
      <c r="U52" s="37"/>
      <c r="V52" s="37"/>
    </row>
    <row r="53" spans="1:24" ht="15.75" customHeight="1" thickBot="1" x14ac:dyDescent="0.3">
      <c r="A53" s="1"/>
      <c r="B53" s="25">
        <f t="shared" si="3"/>
        <v>138</v>
      </c>
      <c r="C53" s="14">
        <f t="shared" si="5"/>
        <v>34</v>
      </c>
      <c r="D53" s="14">
        <f t="shared" si="5"/>
        <v>33</v>
      </c>
      <c r="E53" s="14">
        <f t="shared" si="5"/>
        <v>31</v>
      </c>
      <c r="F53" s="14">
        <f t="shared" si="5"/>
        <v>30</v>
      </c>
      <c r="G53" s="14">
        <f t="shared" si="5"/>
        <v>29</v>
      </c>
      <c r="H53" s="14">
        <f t="shared" si="5"/>
        <v>27</v>
      </c>
      <c r="I53" s="14">
        <f t="shared" si="5"/>
        <v>26</v>
      </c>
      <c r="J53" s="14">
        <f t="shared" si="5"/>
        <v>25</v>
      </c>
      <c r="K53" s="14">
        <f t="shared" si="5"/>
        <v>24</v>
      </c>
      <c r="L53" s="25">
        <f t="shared" si="2"/>
        <v>258</v>
      </c>
      <c r="M53" s="37"/>
      <c r="N53" s="37"/>
      <c r="O53" s="37"/>
      <c r="P53" s="37"/>
      <c r="Q53" s="37"/>
      <c r="R53" s="37"/>
      <c r="S53" s="37"/>
      <c r="T53" s="37"/>
      <c r="U53" s="37"/>
      <c r="V53" s="37"/>
    </row>
    <row r="54" spans="1:24" ht="15.75" customHeight="1" thickBot="1" x14ac:dyDescent="0.3">
      <c r="A54" s="1"/>
      <c r="B54" s="25">
        <f t="shared" si="3"/>
        <v>132</v>
      </c>
      <c r="C54" s="14">
        <f t="shared" si="5"/>
        <v>37</v>
      </c>
      <c r="D54" s="14">
        <f t="shared" si="5"/>
        <v>36</v>
      </c>
      <c r="E54" s="14">
        <f t="shared" si="5"/>
        <v>34</v>
      </c>
      <c r="F54" s="14">
        <f t="shared" si="5"/>
        <v>32</v>
      </c>
      <c r="G54" s="14">
        <f t="shared" si="5"/>
        <v>31</v>
      </c>
      <c r="H54" s="14">
        <f t="shared" si="5"/>
        <v>30</v>
      </c>
      <c r="I54" s="14">
        <f t="shared" si="5"/>
        <v>29</v>
      </c>
      <c r="J54" s="14">
        <f t="shared" si="5"/>
        <v>28</v>
      </c>
      <c r="K54" s="14">
        <f t="shared" si="5"/>
        <v>27</v>
      </c>
      <c r="L54" s="25">
        <f t="shared" si="2"/>
        <v>264</v>
      </c>
      <c r="M54" s="37"/>
      <c r="N54" s="37"/>
      <c r="O54" s="37"/>
      <c r="P54" s="37"/>
      <c r="Q54" s="37"/>
      <c r="R54" s="37"/>
      <c r="S54" s="37"/>
      <c r="T54" s="37"/>
      <c r="U54" s="37"/>
      <c r="V54" s="37"/>
    </row>
    <row r="55" spans="1:24" ht="15.75" customHeight="1" thickBot="1" x14ac:dyDescent="0.3">
      <c r="A55" s="1"/>
      <c r="B55" s="25">
        <f t="shared" si="3"/>
        <v>126</v>
      </c>
      <c r="C55" s="14">
        <f t="shared" si="5"/>
        <v>41</v>
      </c>
      <c r="D55" s="14">
        <f t="shared" si="5"/>
        <v>39</v>
      </c>
      <c r="E55" s="14">
        <f t="shared" si="5"/>
        <v>37</v>
      </c>
      <c r="F55" s="14">
        <f t="shared" si="5"/>
        <v>36</v>
      </c>
      <c r="G55" s="14">
        <f t="shared" si="5"/>
        <v>34</v>
      </c>
      <c r="H55" s="14">
        <f t="shared" si="5"/>
        <v>33</v>
      </c>
      <c r="I55" s="14">
        <f t="shared" si="5"/>
        <v>31</v>
      </c>
      <c r="J55" s="14">
        <f t="shared" si="5"/>
        <v>30</v>
      </c>
      <c r="K55" s="14">
        <f t="shared" si="5"/>
        <v>29</v>
      </c>
      <c r="L55" s="25">
        <f t="shared" si="2"/>
        <v>270</v>
      </c>
      <c r="M55" s="37"/>
      <c r="N55" s="37"/>
      <c r="O55" s="37"/>
      <c r="P55" s="37"/>
      <c r="Q55" s="37"/>
      <c r="R55" s="37"/>
      <c r="S55" s="37"/>
      <c r="T55" s="37"/>
      <c r="U55" s="37"/>
      <c r="V55" s="37"/>
    </row>
    <row r="56" spans="1:24" ht="15.75" customHeight="1" thickBot="1" x14ac:dyDescent="0.3">
      <c r="A56" s="1"/>
      <c r="B56" s="25">
        <f t="shared" si="3"/>
        <v>120</v>
      </c>
      <c r="C56" s="14">
        <f t="shared" si="5"/>
        <v>45</v>
      </c>
      <c r="D56" s="14">
        <f t="shared" si="5"/>
        <v>43</v>
      </c>
      <c r="E56" s="14">
        <f t="shared" si="5"/>
        <v>41</v>
      </c>
      <c r="F56" s="14">
        <f t="shared" si="5"/>
        <v>39</v>
      </c>
      <c r="G56" s="14">
        <f t="shared" si="5"/>
        <v>38</v>
      </c>
      <c r="H56" s="14">
        <f t="shared" si="5"/>
        <v>36</v>
      </c>
      <c r="I56" s="14">
        <f t="shared" si="5"/>
        <v>35</v>
      </c>
      <c r="J56" s="14">
        <f t="shared" si="5"/>
        <v>33</v>
      </c>
      <c r="K56" s="14">
        <f t="shared" si="5"/>
        <v>32</v>
      </c>
      <c r="L56" s="25">
        <f t="shared" si="2"/>
        <v>276</v>
      </c>
      <c r="M56" s="37"/>
      <c r="N56" s="37"/>
      <c r="O56" s="37"/>
      <c r="P56" s="37"/>
      <c r="Q56" s="37"/>
      <c r="R56" s="37"/>
      <c r="S56" s="37"/>
      <c r="T56" s="37"/>
      <c r="U56" s="37"/>
      <c r="V56" s="37"/>
    </row>
    <row r="57" spans="1:24" ht="15.75" customHeight="1" thickBot="1" x14ac:dyDescent="0.3">
      <c r="A57" s="1"/>
      <c r="B57" s="25">
        <f t="shared" si="3"/>
        <v>114</v>
      </c>
      <c r="C57" s="14">
        <f t="shared" si="5"/>
        <v>50</v>
      </c>
      <c r="D57" s="14">
        <f t="shared" si="5"/>
        <v>48</v>
      </c>
      <c r="E57" s="14">
        <f t="shared" si="5"/>
        <v>45</v>
      </c>
      <c r="F57" s="14">
        <f t="shared" si="5"/>
        <v>43</v>
      </c>
      <c r="G57" s="14">
        <f t="shared" si="5"/>
        <v>42</v>
      </c>
      <c r="H57" s="14">
        <f t="shared" si="5"/>
        <v>40</v>
      </c>
      <c r="I57" s="14">
        <f t="shared" si="5"/>
        <v>38</v>
      </c>
      <c r="J57" s="14">
        <f t="shared" si="5"/>
        <v>37</v>
      </c>
      <c r="K57" s="14">
        <f t="shared" si="5"/>
        <v>36</v>
      </c>
      <c r="L57" s="25">
        <f t="shared" si="2"/>
        <v>282</v>
      </c>
      <c r="M57" s="37"/>
      <c r="N57" s="37"/>
      <c r="O57" s="37"/>
      <c r="P57" s="37"/>
      <c r="Q57" s="37"/>
      <c r="R57" s="37"/>
      <c r="S57" s="37"/>
      <c r="T57" s="37"/>
      <c r="U57" s="37"/>
      <c r="V57" s="37"/>
    </row>
    <row r="58" spans="1:24" ht="15.75" customHeight="1" thickBot="1" x14ac:dyDescent="0.3">
      <c r="A58" s="1"/>
      <c r="B58" s="25">
        <f t="shared" si="3"/>
        <v>108</v>
      </c>
      <c r="C58" s="14">
        <f t="shared" si="5"/>
        <v>56</v>
      </c>
      <c r="D58" s="14">
        <f t="shared" si="5"/>
        <v>53</v>
      </c>
      <c r="E58" s="14">
        <f t="shared" si="5"/>
        <v>50</v>
      </c>
      <c r="F58" s="14">
        <f t="shared" si="5"/>
        <v>48</v>
      </c>
      <c r="G58" s="14">
        <f t="shared" si="5"/>
        <v>46</v>
      </c>
      <c r="H58" s="14">
        <f t="shared" si="5"/>
        <v>44</v>
      </c>
      <c r="I58" s="14">
        <f t="shared" si="5"/>
        <v>43</v>
      </c>
      <c r="J58" s="14">
        <f t="shared" si="5"/>
        <v>41</v>
      </c>
      <c r="K58" s="14">
        <f t="shared" si="5"/>
        <v>40</v>
      </c>
      <c r="L58" s="25">
        <f t="shared" si="2"/>
        <v>288</v>
      </c>
      <c r="M58" s="37"/>
      <c r="N58" s="37"/>
      <c r="O58" s="37"/>
      <c r="P58" s="37"/>
      <c r="Q58" s="37"/>
      <c r="R58" s="37"/>
      <c r="S58" s="37"/>
      <c r="T58" s="37"/>
      <c r="U58" s="37"/>
      <c r="V58" s="37"/>
    </row>
    <row r="59" spans="1:24" ht="15.75" customHeight="1" thickBot="1" x14ac:dyDescent="0.3">
      <c r="A59" s="1"/>
      <c r="B59" s="25">
        <f t="shared" si="3"/>
        <v>102</v>
      </c>
      <c r="C59" s="14">
        <f t="shared" si="5"/>
        <v>62</v>
      </c>
      <c r="D59" s="14">
        <f t="shared" si="5"/>
        <v>59</v>
      </c>
      <c r="E59" s="14">
        <f t="shared" si="5"/>
        <v>57</v>
      </c>
      <c r="F59" s="14">
        <f t="shared" si="5"/>
        <v>54</v>
      </c>
      <c r="G59" s="14">
        <f t="shared" si="5"/>
        <v>52</v>
      </c>
      <c r="H59" s="14">
        <f t="shared" si="5"/>
        <v>50</v>
      </c>
      <c r="I59" s="14">
        <f t="shared" si="5"/>
        <v>48</v>
      </c>
      <c r="J59" s="14">
        <f t="shared" si="5"/>
        <v>46</v>
      </c>
      <c r="K59" s="14">
        <f t="shared" si="5"/>
        <v>44</v>
      </c>
      <c r="L59" s="25">
        <f t="shared" si="2"/>
        <v>294</v>
      </c>
      <c r="M59" s="37"/>
      <c r="N59" s="37"/>
      <c r="O59" s="37"/>
      <c r="P59" s="37"/>
      <c r="Q59" s="37"/>
      <c r="R59" s="37"/>
      <c r="S59" s="37"/>
      <c r="T59" s="37"/>
      <c r="U59" s="37"/>
      <c r="V59" s="37"/>
    </row>
    <row r="60" spans="1:24" ht="15.75" customHeight="1" thickBot="1" x14ac:dyDescent="0.3">
      <c r="A60" s="1"/>
      <c r="B60" s="25">
        <f t="shared" si="3"/>
        <v>96</v>
      </c>
      <c r="C60" s="14">
        <f t="shared" si="5"/>
        <v>70</v>
      </c>
      <c r="D60" s="14">
        <f t="shared" si="5"/>
        <v>67</v>
      </c>
      <c r="E60" s="14">
        <f t="shared" si="5"/>
        <v>64</v>
      </c>
      <c r="F60" s="14">
        <f t="shared" si="5"/>
        <v>61</v>
      </c>
      <c r="G60" s="14">
        <f t="shared" si="5"/>
        <v>58</v>
      </c>
      <c r="H60" s="14">
        <f t="shared" si="5"/>
        <v>56</v>
      </c>
      <c r="I60" s="14">
        <f t="shared" si="5"/>
        <v>54</v>
      </c>
      <c r="J60" s="14">
        <f t="shared" si="5"/>
        <v>52</v>
      </c>
      <c r="K60" s="14">
        <f t="shared" si="5"/>
        <v>50</v>
      </c>
      <c r="L60" s="26">
        <f t="shared" si="2"/>
        <v>300</v>
      </c>
      <c r="M60" s="37"/>
      <c r="N60" s="37"/>
      <c r="O60" s="37"/>
      <c r="P60" s="37"/>
      <c r="Q60" s="37"/>
      <c r="R60" s="37"/>
      <c r="S60" s="37"/>
      <c r="T60" s="37"/>
      <c r="U60" s="37"/>
      <c r="V60" s="37"/>
    </row>
    <row r="61" spans="1:24" ht="15.75" customHeight="1" x14ac:dyDescent="0.25">
      <c r="A61" s="1"/>
      <c r="B61" s="1"/>
      <c r="C61" s="1"/>
      <c r="D61" s="1"/>
      <c r="E61" s="1"/>
      <c r="F61" s="1"/>
      <c r="G61" s="1"/>
      <c r="H61" s="1"/>
      <c r="I61" s="1"/>
      <c r="J61" s="1"/>
      <c r="K61" s="1"/>
      <c r="L61" s="1"/>
      <c r="M61" s="37"/>
      <c r="N61" s="37"/>
      <c r="O61" s="37"/>
      <c r="P61" s="37"/>
      <c r="Q61" s="37"/>
      <c r="R61" s="37"/>
      <c r="S61" s="37"/>
      <c r="T61" s="37"/>
      <c r="U61" s="37"/>
      <c r="V61" s="37"/>
    </row>
    <row r="62" spans="1:24" ht="15.75" customHeight="1" x14ac:dyDescent="0.25">
      <c r="A62" s="1"/>
      <c r="B62" s="1"/>
      <c r="C62" s="1"/>
      <c r="D62" s="1"/>
      <c r="E62" s="1"/>
      <c r="F62" s="1"/>
      <c r="G62" s="1"/>
      <c r="H62" s="1"/>
      <c r="I62" s="1"/>
      <c r="J62" s="1"/>
      <c r="K62" s="1"/>
      <c r="L62" s="1"/>
      <c r="M62" s="37"/>
      <c r="N62" s="37"/>
      <c r="O62" s="37"/>
      <c r="P62" s="37"/>
      <c r="Q62" s="37"/>
      <c r="R62" s="37"/>
      <c r="S62" s="37"/>
      <c r="T62" s="37"/>
      <c r="U62" s="37"/>
      <c r="V62" s="37"/>
    </row>
    <row r="63" spans="1:24" ht="15.75" customHeight="1" thickBot="1" x14ac:dyDescent="0.3">
      <c r="A63" s="1"/>
      <c r="B63" s="52" t="s">
        <v>176</v>
      </c>
      <c r="C63" s="229" t="s">
        <v>167</v>
      </c>
      <c r="D63" s="229"/>
      <c r="E63" s="229"/>
      <c r="F63" s="229"/>
      <c r="G63" s="229"/>
      <c r="H63" s="229"/>
      <c r="I63" s="229"/>
      <c r="J63" s="229"/>
      <c r="K63" s="229"/>
      <c r="L63" s="1"/>
      <c r="M63" s="37"/>
      <c r="N63" s="37"/>
      <c r="O63" s="37"/>
      <c r="P63" s="37"/>
      <c r="Q63" s="37"/>
      <c r="R63" s="37"/>
      <c r="S63" s="37"/>
      <c r="T63" s="37"/>
      <c r="U63" s="37"/>
      <c r="V63" s="37"/>
    </row>
    <row r="64" spans="1:24" ht="15.75" customHeight="1" x14ac:dyDescent="0.25">
      <c r="A64" s="1"/>
      <c r="B64" s="303" t="s">
        <v>177</v>
      </c>
      <c r="C64" s="304"/>
      <c r="D64" s="304"/>
      <c r="E64" s="304"/>
      <c r="F64" s="304"/>
      <c r="G64" s="304"/>
      <c r="H64" s="304"/>
      <c r="I64" s="304"/>
      <c r="J64" s="304"/>
      <c r="K64" s="305"/>
      <c r="L64" s="1"/>
      <c r="M64" s="37"/>
      <c r="N64" s="331" t="s">
        <v>1</v>
      </c>
      <c r="O64" s="332"/>
      <c r="P64" s="332"/>
      <c r="Q64" s="332"/>
      <c r="R64" s="333"/>
      <c r="S64"/>
      <c r="T64"/>
      <c r="U64" s="288" t="s">
        <v>2</v>
      </c>
      <c r="V64" s="289"/>
      <c r="W64" s="81" t="s">
        <v>3</v>
      </c>
      <c r="X64"/>
    </row>
    <row r="65" spans="1:34" ht="15.75" customHeight="1" thickBot="1" x14ac:dyDescent="0.3">
      <c r="A65" s="1"/>
      <c r="B65" s="51" t="s">
        <v>169</v>
      </c>
      <c r="C65" s="298" t="s">
        <v>170</v>
      </c>
      <c r="D65" s="298"/>
      <c r="E65" s="298"/>
      <c r="F65" s="298"/>
      <c r="G65" s="298"/>
      <c r="H65" s="298"/>
      <c r="I65" s="298"/>
      <c r="J65" s="298"/>
      <c r="K65" s="299"/>
      <c r="L65" s="51" t="s">
        <v>169</v>
      </c>
      <c r="M65" s="37"/>
      <c r="N65" s="290" t="s">
        <v>5</v>
      </c>
      <c r="O65" s="291"/>
      <c r="P65" s="78"/>
      <c r="Q65" s="291" t="s">
        <v>6</v>
      </c>
      <c r="R65" s="292"/>
      <c r="S65"/>
      <c r="T65"/>
      <c r="U65" s="293" t="s">
        <v>178</v>
      </c>
      <c r="V65" s="294"/>
      <c r="W65" s="79">
        <f>(N67+O67/12)*SUM(W79+1)</f>
        <v>56.666666666666664</v>
      </c>
      <c r="X65"/>
    </row>
    <row r="66" spans="1:34" ht="15.75" customHeight="1" thickBot="1" x14ac:dyDescent="0.3">
      <c r="A66" s="1"/>
      <c r="B66" s="27" t="s">
        <v>171</v>
      </c>
      <c r="C66" s="94">
        <f>N83</f>
        <v>58.666666666666657</v>
      </c>
      <c r="D66" s="94">
        <f>(+C66+6)</f>
        <v>64.666666666666657</v>
      </c>
      <c r="E66" s="94">
        <f t="shared" ref="E66:K66" si="6">(+D66+6)</f>
        <v>70.666666666666657</v>
      </c>
      <c r="F66" s="94">
        <f t="shared" si="6"/>
        <v>76.666666666666657</v>
      </c>
      <c r="G66" s="94">
        <f t="shared" si="6"/>
        <v>82.666666666666657</v>
      </c>
      <c r="H66" s="94">
        <f t="shared" si="6"/>
        <v>88.666666666666657</v>
      </c>
      <c r="I66" s="94">
        <f t="shared" si="6"/>
        <v>94.666666666666657</v>
      </c>
      <c r="J66" s="94">
        <f t="shared" si="6"/>
        <v>100.66666666666666</v>
      </c>
      <c r="K66" s="94">
        <f t="shared" si="6"/>
        <v>106.66666666666666</v>
      </c>
      <c r="L66" s="27" t="s">
        <v>171</v>
      </c>
      <c r="M66" s="37"/>
      <c r="N66" s="85" t="s">
        <v>9</v>
      </c>
      <c r="O66" s="86" t="s">
        <v>10</v>
      </c>
      <c r="P66" s="86"/>
      <c r="Q66" s="86" t="s">
        <v>9</v>
      </c>
      <c r="R66" s="77" t="s">
        <v>10</v>
      </c>
      <c r="S66"/>
      <c r="T66"/>
      <c r="U66" s="295" t="s">
        <v>179</v>
      </c>
      <c r="V66" s="296"/>
      <c r="W66" s="79">
        <f>(Q67+R67/12)*2</f>
        <v>60.333333333333336</v>
      </c>
      <c r="X66"/>
    </row>
    <row r="67" spans="1:34" ht="15.75" customHeight="1" thickBot="1" x14ac:dyDescent="0.3">
      <c r="A67" s="1"/>
      <c r="B67" s="25">
        <f t="shared" ref="B67:B80" si="7">B68+6</f>
        <v>300</v>
      </c>
      <c r="C67" s="93">
        <f>ROUNDUP(+MIN((15000*8*$J$6*144)/(C$66*$B67^2),(($B67/120)*384*144*10000000*$J$4)/(5*C$66*$B67^4)),0)</f>
        <v>11</v>
      </c>
      <c r="D67" s="93">
        <f t="shared" ref="D67:K67" si="8">ROUNDUP(+MIN((15000*8*$J$6*144)/(D$66*$B67^2),(($B67/120)*384*144*10000000*$J$4)/(5*D$66*$B67^4)),0)</f>
        <v>10</v>
      </c>
      <c r="E67" s="93">
        <f t="shared" si="8"/>
        <v>9</v>
      </c>
      <c r="F67" s="93">
        <f t="shared" si="8"/>
        <v>8</v>
      </c>
      <c r="G67" s="93">
        <f t="shared" si="8"/>
        <v>8</v>
      </c>
      <c r="H67" s="93">
        <f t="shared" si="8"/>
        <v>7</v>
      </c>
      <c r="I67" s="93">
        <f t="shared" si="8"/>
        <v>7</v>
      </c>
      <c r="J67" s="93">
        <f t="shared" si="8"/>
        <v>6</v>
      </c>
      <c r="K67" s="93">
        <f t="shared" si="8"/>
        <v>6</v>
      </c>
      <c r="L67" s="24">
        <v>96</v>
      </c>
      <c r="M67" s="37"/>
      <c r="N67" s="123">
        <f>'Span Table '!$C$8</f>
        <v>14</v>
      </c>
      <c r="O67" s="124">
        <f>'Span Table '!D8</f>
        <v>2</v>
      </c>
      <c r="P67" s="118" t="s">
        <v>41</v>
      </c>
      <c r="Q67" s="124">
        <f>'Span Table '!E8</f>
        <v>30</v>
      </c>
      <c r="R67" s="119">
        <f>'Span Table '!F8</f>
        <v>2</v>
      </c>
      <c r="S67"/>
      <c r="T67"/>
      <c r="U67" s="295" t="s">
        <v>180</v>
      </c>
      <c r="V67" s="296"/>
      <c r="W67" s="79">
        <f>(((Q67*12)-(W79+1)*2)/W79)/12</f>
        <v>9.7777777777777768</v>
      </c>
      <c r="X67"/>
    </row>
    <row r="68" spans="1:34" ht="15.75" customHeight="1" thickBot="1" x14ac:dyDescent="0.3">
      <c r="A68" s="1"/>
      <c r="B68" s="25">
        <f t="shared" si="7"/>
        <v>294</v>
      </c>
      <c r="C68" s="93">
        <f t="shared" ref="C68:K101" si="9">ROUNDUP(+MIN((15000*8*$J$6*144)/(C$66*$B68^2),(($B68/120)*384*144*10000000*$J$4)/(5*C$66*$B68^4)),0)</f>
        <v>11</v>
      </c>
      <c r="D68" s="93">
        <f t="shared" si="9"/>
        <v>10</v>
      </c>
      <c r="E68" s="93">
        <f t="shared" si="9"/>
        <v>9</v>
      </c>
      <c r="F68" s="93">
        <f t="shared" si="9"/>
        <v>9</v>
      </c>
      <c r="G68" s="93">
        <f t="shared" si="9"/>
        <v>8</v>
      </c>
      <c r="H68" s="93">
        <f t="shared" si="9"/>
        <v>8</v>
      </c>
      <c r="I68" s="93">
        <f t="shared" si="9"/>
        <v>7</v>
      </c>
      <c r="J68" s="93">
        <f t="shared" si="9"/>
        <v>7</v>
      </c>
      <c r="K68" s="93">
        <f t="shared" si="9"/>
        <v>6</v>
      </c>
      <c r="L68" s="25">
        <f t="shared" ref="L68:L101" si="10">+L67+6</f>
        <v>102</v>
      </c>
      <c r="M68" s="37"/>
      <c r="N68"/>
      <c r="O68"/>
      <c r="P68"/>
      <c r="Q68"/>
      <c r="R68"/>
      <c r="S68"/>
      <c r="T68"/>
      <c r="U68" s="295" t="s">
        <v>17</v>
      </c>
      <c r="V68" s="296"/>
      <c r="W68" s="79">
        <v>110</v>
      </c>
      <c r="X68">
        <f>'Design Loads'!AC115</f>
        <v>0</v>
      </c>
    </row>
    <row r="69" spans="1:34" ht="15.75" customHeight="1" thickBot="1" x14ac:dyDescent="0.3">
      <c r="A69" s="1"/>
      <c r="B69" s="25">
        <f t="shared" si="7"/>
        <v>288</v>
      </c>
      <c r="C69" s="93">
        <f t="shared" si="9"/>
        <v>12</v>
      </c>
      <c r="D69" s="93">
        <f t="shared" si="9"/>
        <v>11</v>
      </c>
      <c r="E69" s="93">
        <f t="shared" si="9"/>
        <v>10</v>
      </c>
      <c r="F69" s="93">
        <f t="shared" si="9"/>
        <v>9</v>
      </c>
      <c r="G69" s="93">
        <f t="shared" si="9"/>
        <v>9</v>
      </c>
      <c r="H69" s="93">
        <f t="shared" si="9"/>
        <v>8</v>
      </c>
      <c r="I69" s="93">
        <f t="shared" si="9"/>
        <v>8</v>
      </c>
      <c r="J69" s="93">
        <f t="shared" si="9"/>
        <v>7</v>
      </c>
      <c r="K69" s="93">
        <f t="shared" si="9"/>
        <v>7</v>
      </c>
      <c r="L69" s="25">
        <f t="shared" si="10"/>
        <v>108</v>
      </c>
      <c r="M69" s="37"/>
      <c r="N69"/>
      <c r="O69"/>
      <c r="P69"/>
      <c r="Q69"/>
      <c r="R69"/>
      <c r="S69"/>
      <c r="T69"/>
      <c r="U69" s="295" t="s">
        <v>19</v>
      </c>
      <c r="V69" s="296"/>
      <c r="W69" s="79">
        <v>10</v>
      </c>
      <c r="X69">
        <f>'Design Loads'!AC116</f>
        <v>0</v>
      </c>
    </row>
    <row r="70" spans="1:34" ht="15.75" customHeight="1" thickBot="1" x14ac:dyDescent="0.3">
      <c r="A70" s="1"/>
      <c r="B70" s="25">
        <f t="shared" si="7"/>
        <v>282</v>
      </c>
      <c r="C70" s="93">
        <f t="shared" si="9"/>
        <v>13</v>
      </c>
      <c r="D70" s="93">
        <f t="shared" si="9"/>
        <v>12</v>
      </c>
      <c r="E70" s="93">
        <f t="shared" si="9"/>
        <v>11</v>
      </c>
      <c r="F70" s="93">
        <f t="shared" si="9"/>
        <v>10</v>
      </c>
      <c r="G70" s="93">
        <f t="shared" si="9"/>
        <v>9</v>
      </c>
      <c r="H70" s="93">
        <f t="shared" si="9"/>
        <v>9</v>
      </c>
      <c r="I70" s="93">
        <f t="shared" si="9"/>
        <v>8</v>
      </c>
      <c r="J70" s="93">
        <f t="shared" si="9"/>
        <v>8</v>
      </c>
      <c r="K70" s="93">
        <f t="shared" si="9"/>
        <v>7</v>
      </c>
      <c r="L70" s="25">
        <f t="shared" si="10"/>
        <v>114</v>
      </c>
      <c r="M70" s="37"/>
      <c r="N70"/>
      <c r="O70"/>
      <c r="P70"/>
      <c r="Q70"/>
      <c r="R70"/>
      <c r="S70"/>
      <c r="T70"/>
      <c r="U70" s="288" t="s">
        <v>28</v>
      </c>
      <c r="V70" s="289"/>
      <c r="W70" s="297"/>
      <c r="X70"/>
    </row>
    <row r="71" spans="1:34" ht="15.75" customHeight="1" thickBot="1" x14ac:dyDescent="0.3">
      <c r="A71" s="1"/>
      <c r="B71" s="25">
        <f t="shared" si="7"/>
        <v>276</v>
      </c>
      <c r="C71" s="93">
        <f t="shared" si="9"/>
        <v>14</v>
      </c>
      <c r="D71" s="93">
        <f t="shared" si="9"/>
        <v>12</v>
      </c>
      <c r="E71" s="93">
        <f t="shared" si="9"/>
        <v>11</v>
      </c>
      <c r="F71" s="93">
        <f t="shared" si="9"/>
        <v>10</v>
      </c>
      <c r="G71" s="93">
        <f t="shared" si="9"/>
        <v>10</v>
      </c>
      <c r="H71" s="93">
        <f t="shared" si="9"/>
        <v>9</v>
      </c>
      <c r="I71" s="93">
        <f t="shared" si="9"/>
        <v>9</v>
      </c>
      <c r="J71" s="93">
        <f t="shared" si="9"/>
        <v>8</v>
      </c>
      <c r="K71" s="93">
        <f t="shared" si="9"/>
        <v>8</v>
      </c>
      <c r="L71" s="25">
        <f t="shared" si="10"/>
        <v>120</v>
      </c>
      <c r="M71" s="37"/>
      <c r="N71" t="s">
        <v>0</v>
      </c>
      <c r="O71"/>
      <c r="P71"/>
      <c r="Q71"/>
      <c r="R71"/>
      <c r="S71"/>
      <c r="T71"/>
      <c r="U71" s="295" t="s">
        <v>29</v>
      </c>
      <c r="V71" s="296"/>
      <c r="W71" s="79"/>
      <c r="X71"/>
      <c r="Y71" s="309" t="s">
        <v>181</v>
      </c>
      <c r="Z71" s="310"/>
      <c r="AA71" s="311"/>
    </row>
    <row r="72" spans="1:34" ht="15.75" customHeight="1" thickBot="1" x14ac:dyDescent="0.3">
      <c r="A72" s="1"/>
      <c r="B72" s="25">
        <f t="shared" si="7"/>
        <v>270</v>
      </c>
      <c r="C72" s="93">
        <f t="shared" si="9"/>
        <v>14</v>
      </c>
      <c r="D72" s="93">
        <f t="shared" si="9"/>
        <v>13</v>
      </c>
      <c r="E72" s="93">
        <f t="shared" si="9"/>
        <v>12</v>
      </c>
      <c r="F72" s="93">
        <f t="shared" si="9"/>
        <v>11</v>
      </c>
      <c r="G72" s="93">
        <f t="shared" si="9"/>
        <v>10</v>
      </c>
      <c r="H72" s="93">
        <f t="shared" si="9"/>
        <v>10</v>
      </c>
      <c r="I72" s="93">
        <f t="shared" si="9"/>
        <v>9</v>
      </c>
      <c r="J72" s="93">
        <f t="shared" si="9"/>
        <v>9</v>
      </c>
      <c r="K72" s="93">
        <f t="shared" si="9"/>
        <v>8</v>
      </c>
      <c r="L72" s="25">
        <f t="shared" si="10"/>
        <v>126</v>
      </c>
      <c r="M72" s="37"/>
      <c r="N72"/>
      <c r="O72"/>
      <c r="P72"/>
      <c r="Q72"/>
      <c r="R72"/>
      <c r="S72"/>
      <c r="T72"/>
      <c r="U72" s="295" t="s">
        <v>30</v>
      </c>
      <c r="V72" s="296"/>
      <c r="W72" s="79">
        <f>N87</f>
        <v>234</v>
      </c>
      <c r="X72"/>
      <c r="Y72" s="312">
        <f>IF(AND(N83&gt;1,N83&lt;49),48,IF(AND(N83&gt;48,N83&lt;55),54,IF(AND(N83&gt;54,N83&lt;61),60,IF(AND(N83&gt;60,N83&lt;67),66,IF(AND(N83&gt;66,N83&lt;73),72,IF(AND(N83&gt;72,N83&lt;79),78,IF(AND(N83&gt;78,N83&lt;85),84,IF(AND(N83&gt;84,N83&lt;91),90,IF(AND(N83&gt;90,N83&lt;97),96,IF(AND(N83&gt;96,N83&lt;103),102))))))))))</f>
        <v>60</v>
      </c>
      <c r="Z72" s="313"/>
      <c r="AA72" s="314"/>
    </row>
    <row r="73" spans="1:34" ht="15.75" customHeight="1" thickBot="1" x14ac:dyDescent="0.3">
      <c r="A73" s="1"/>
      <c r="B73" s="25">
        <f t="shared" si="7"/>
        <v>264</v>
      </c>
      <c r="C73" s="93">
        <f t="shared" si="9"/>
        <v>15</v>
      </c>
      <c r="D73" s="93">
        <f t="shared" si="9"/>
        <v>14</v>
      </c>
      <c r="E73" s="93">
        <f t="shared" si="9"/>
        <v>13</v>
      </c>
      <c r="F73" s="93">
        <f t="shared" si="9"/>
        <v>12</v>
      </c>
      <c r="G73" s="93">
        <f t="shared" si="9"/>
        <v>11</v>
      </c>
      <c r="H73" s="93">
        <f t="shared" si="9"/>
        <v>10</v>
      </c>
      <c r="I73" s="93">
        <f t="shared" si="9"/>
        <v>10</v>
      </c>
      <c r="J73" s="93">
        <f t="shared" si="9"/>
        <v>9</v>
      </c>
      <c r="K73" s="93">
        <f t="shared" si="9"/>
        <v>9</v>
      </c>
      <c r="L73" s="25">
        <f t="shared" si="10"/>
        <v>132</v>
      </c>
      <c r="M73" s="37"/>
      <c r="N73"/>
      <c r="O73"/>
      <c r="P73"/>
      <c r="Q73" s="82"/>
      <c r="R73"/>
      <c r="S73"/>
      <c r="T73"/>
      <c r="U73" s="295" t="s">
        <v>182</v>
      </c>
      <c r="V73" s="296"/>
      <c r="W73" s="79"/>
      <c r="X73"/>
      <c r="Y73" s="106">
        <f>IF(N83=C66,VLOOKUP(N85,C67:L101,10,FALSE),IF(N83=D66,VLOOKUP(N85,D67:L101,9,FALSE),IF(N83=E66,VLOOKUP(N85,E67:L101,8,FALSE),IF(N83=F66,VLOOKUP(N85,F67:L101,7,FALSE),IF(N83=G66,VLOOKUP(N85,G67:L101,6,FALSE),IF(N83=H66,VLOOKUP(N85,H67:L101,5,FALSE),IF(N83=I66,VLOOKUP(N85,I67:L101,4,FALSE),IF(N83=J66,VLOOKUP(N85,J67:L101,3,FALSE),IF(N83=K66,VLOOKUP(N85,K67:L101,2,FALSE))))))))))</f>
        <v>162</v>
      </c>
      <c r="Z73" s="105" t="s">
        <v>174</v>
      </c>
      <c r="AA73" s="105"/>
      <c r="AB73" s="105"/>
      <c r="AC73" s="105"/>
      <c r="AD73" s="105"/>
      <c r="AE73" s="105"/>
      <c r="AF73" s="105"/>
      <c r="AG73" s="105"/>
      <c r="AH73" s="105"/>
    </row>
    <row r="74" spans="1:34" ht="15.75" customHeight="1" thickBot="1" x14ac:dyDescent="0.3">
      <c r="A74" s="1"/>
      <c r="B74" s="25">
        <f t="shared" si="7"/>
        <v>258</v>
      </c>
      <c r="C74" s="93">
        <f t="shared" si="9"/>
        <v>16</v>
      </c>
      <c r="D74" s="93">
        <f t="shared" si="9"/>
        <v>15</v>
      </c>
      <c r="E74" s="93">
        <f t="shared" si="9"/>
        <v>14</v>
      </c>
      <c r="F74" s="93">
        <f t="shared" si="9"/>
        <v>13</v>
      </c>
      <c r="G74" s="93">
        <f t="shared" si="9"/>
        <v>12</v>
      </c>
      <c r="H74" s="93">
        <f t="shared" si="9"/>
        <v>11</v>
      </c>
      <c r="I74" s="93">
        <f t="shared" si="9"/>
        <v>10</v>
      </c>
      <c r="J74" s="93">
        <f t="shared" si="9"/>
        <v>10</v>
      </c>
      <c r="K74" s="93">
        <f t="shared" si="9"/>
        <v>9</v>
      </c>
      <c r="L74" s="25">
        <f t="shared" si="10"/>
        <v>138</v>
      </c>
      <c r="M74" s="37"/>
      <c r="N74"/>
      <c r="O74"/>
      <c r="P74"/>
      <c r="Q74" s="78"/>
      <c r="R74"/>
      <c r="S74"/>
      <c r="T74"/>
      <c r="U74" s="276" t="s">
        <v>44</v>
      </c>
      <c r="V74" s="277"/>
      <c r="W74" s="80"/>
      <c r="X74"/>
      <c r="Y74" s="105" t="s">
        <v>183</v>
      </c>
      <c r="Z74" s="105"/>
      <c r="AA74" s="105"/>
      <c r="AB74" s="105"/>
      <c r="AC74" s="105"/>
      <c r="AD74" s="105"/>
      <c r="AE74" s="105"/>
      <c r="AF74" s="105"/>
      <c r="AG74" s="105"/>
      <c r="AH74" s="105"/>
    </row>
    <row r="75" spans="1:34" ht="15.75" customHeight="1" thickBot="1" x14ac:dyDescent="0.3">
      <c r="A75" s="1"/>
      <c r="B75" s="25">
        <f t="shared" si="7"/>
        <v>252</v>
      </c>
      <c r="C75" s="93">
        <f t="shared" si="9"/>
        <v>18</v>
      </c>
      <c r="D75" s="93">
        <f t="shared" si="9"/>
        <v>16</v>
      </c>
      <c r="E75" s="93">
        <f t="shared" si="9"/>
        <v>15</v>
      </c>
      <c r="F75" s="93">
        <f t="shared" si="9"/>
        <v>14</v>
      </c>
      <c r="G75" s="93">
        <f t="shared" si="9"/>
        <v>13</v>
      </c>
      <c r="H75" s="93">
        <f t="shared" si="9"/>
        <v>12</v>
      </c>
      <c r="I75" s="93">
        <f t="shared" si="9"/>
        <v>11</v>
      </c>
      <c r="J75" s="93">
        <f t="shared" si="9"/>
        <v>10</v>
      </c>
      <c r="K75" s="93">
        <f t="shared" si="9"/>
        <v>10</v>
      </c>
      <c r="L75" s="25">
        <f t="shared" si="10"/>
        <v>144</v>
      </c>
      <c r="M75" s="37"/>
      <c r="N75"/>
      <c r="O75"/>
      <c r="P75"/>
      <c r="Q75" s="78"/>
      <c r="R75"/>
      <c r="S75"/>
      <c r="T75"/>
      <c r="U75"/>
      <c r="V75" s="278"/>
      <c r="W75" s="278"/>
      <c r="X75"/>
    </row>
    <row r="76" spans="1:34" ht="15.75" customHeight="1" thickBot="1" x14ac:dyDescent="0.3">
      <c r="A76" s="1"/>
      <c r="B76" s="25">
        <f t="shared" si="7"/>
        <v>246</v>
      </c>
      <c r="C76" s="93">
        <f t="shared" si="9"/>
        <v>19</v>
      </c>
      <c r="D76" s="93">
        <f t="shared" si="9"/>
        <v>17</v>
      </c>
      <c r="E76" s="93">
        <f t="shared" si="9"/>
        <v>16</v>
      </c>
      <c r="F76" s="93">
        <f t="shared" si="9"/>
        <v>15</v>
      </c>
      <c r="G76" s="93">
        <f t="shared" si="9"/>
        <v>14</v>
      </c>
      <c r="H76" s="93">
        <f t="shared" si="9"/>
        <v>13</v>
      </c>
      <c r="I76" s="93">
        <f t="shared" si="9"/>
        <v>12</v>
      </c>
      <c r="J76" s="93">
        <f t="shared" si="9"/>
        <v>11</v>
      </c>
      <c r="K76" s="93">
        <f t="shared" si="9"/>
        <v>11</v>
      </c>
      <c r="L76" s="25">
        <f t="shared" si="10"/>
        <v>150</v>
      </c>
      <c r="M76" s="37"/>
      <c r="N76"/>
      <c r="O76"/>
      <c r="P76"/>
      <c r="Q76" s="78"/>
      <c r="R76"/>
      <c r="S76"/>
      <c r="T76"/>
      <c r="U76" s="321" t="s">
        <v>7</v>
      </c>
      <c r="V76" s="322"/>
      <c r="W76" s="99" t="s">
        <v>184</v>
      </c>
      <c r="X76"/>
    </row>
    <row r="77" spans="1:34" ht="15.75" customHeight="1" thickBot="1" x14ac:dyDescent="0.3">
      <c r="A77" s="1"/>
      <c r="B77" s="25">
        <f t="shared" si="7"/>
        <v>240</v>
      </c>
      <c r="C77" s="93">
        <f t="shared" si="9"/>
        <v>20</v>
      </c>
      <c r="D77" s="93">
        <f t="shared" si="9"/>
        <v>18</v>
      </c>
      <c r="E77" s="93">
        <f t="shared" si="9"/>
        <v>17</v>
      </c>
      <c r="F77" s="93">
        <f t="shared" si="9"/>
        <v>16</v>
      </c>
      <c r="G77" s="93">
        <f t="shared" si="9"/>
        <v>15</v>
      </c>
      <c r="H77" s="93">
        <f t="shared" si="9"/>
        <v>14</v>
      </c>
      <c r="I77" s="93">
        <f t="shared" si="9"/>
        <v>13</v>
      </c>
      <c r="J77" s="93">
        <f t="shared" si="9"/>
        <v>12</v>
      </c>
      <c r="K77" s="93">
        <f t="shared" si="9"/>
        <v>11</v>
      </c>
      <c r="L77" s="25">
        <f t="shared" si="10"/>
        <v>156</v>
      </c>
      <c r="M77" s="37"/>
      <c r="N77"/>
      <c r="O77"/>
      <c r="P77"/>
      <c r="Q77" s="78"/>
      <c r="R77"/>
      <c r="S77"/>
      <c r="T77"/>
      <c r="U77" s="323" t="s">
        <v>185</v>
      </c>
      <c r="V77" s="324"/>
      <c r="W77" s="325" t="s">
        <v>186</v>
      </c>
      <c r="X77"/>
    </row>
    <row r="78" spans="1:34" ht="15.75" customHeight="1" thickBot="1" x14ac:dyDescent="0.3">
      <c r="A78" s="1"/>
      <c r="B78" s="25">
        <f t="shared" si="7"/>
        <v>234</v>
      </c>
      <c r="C78" s="93">
        <f t="shared" si="9"/>
        <v>22</v>
      </c>
      <c r="D78" s="93">
        <f t="shared" si="9"/>
        <v>20</v>
      </c>
      <c r="E78" s="93">
        <f t="shared" si="9"/>
        <v>18</v>
      </c>
      <c r="F78" s="93">
        <f t="shared" si="9"/>
        <v>17</v>
      </c>
      <c r="G78" s="93">
        <f t="shared" si="9"/>
        <v>16</v>
      </c>
      <c r="H78" s="93">
        <f t="shared" si="9"/>
        <v>15</v>
      </c>
      <c r="I78" s="93">
        <f t="shared" si="9"/>
        <v>14</v>
      </c>
      <c r="J78" s="93">
        <f t="shared" si="9"/>
        <v>13</v>
      </c>
      <c r="K78" s="93">
        <f t="shared" si="9"/>
        <v>12</v>
      </c>
      <c r="L78" s="25">
        <f t="shared" si="10"/>
        <v>162</v>
      </c>
      <c r="M78" s="37"/>
      <c r="N78"/>
      <c r="O78"/>
      <c r="P78"/>
      <c r="Q78" s="83"/>
      <c r="R78"/>
      <c r="S78"/>
      <c r="T78"/>
      <c r="U78" s="323"/>
      <c r="V78" s="324"/>
      <c r="W78" s="325"/>
      <c r="X78"/>
    </row>
    <row r="79" spans="1:34" ht="15.75" customHeight="1" thickBot="1" x14ac:dyDescent="0.3">
      <c r="A79" s="1"/>
      <c r="B79" s="25">
        <f t="shared" si="7"/>
        <v>228</v>
      </c>
      <c r="C79" s="93">
        <f t="shared" si="9"/>
        <v>24</v>
      </c>
      <c r="D79" s="93">
        <f t="shared" si="9"/>
        <v>21</v>
      </c>
      <c r="E79" s="93">
        <f t="shared" si="9"/>
        <v>20</v>
      </c>
      <c r="F79" s="93">
        <f t="shared" si="9"/>
        <v>18</v>
      </c>
      <c r="G79" s="93">
        <f t="shared" si="9"/>
        <v>17</v>
      </c>
      <c r="H79" s="93">
        <f t="shared" si="9"/>
        <v>16</v>
      </c>
      <c r="I79" s="93">
        <f t="shared" si="9"/>
        <v>15</v>
      </c>
      <c r="J79" s="93">
        <f t="shared" si="9"/>
        <v>14</v>
      </c>
      <c r="K79" s="93">
        <f t="shared" si="9"/>
        <v>13</v>
      </c>
      <c r="L79" s="25">
        <f t="shared" si="10"/>
        <v>168</v>
      </c>
      <c r="M79" s="37"/>
      <c r="N79"/>
      <c r="O79"/>
      <c r="P79"/>
      <c r="Q79" s="78"/>
      <c r="R79"/>
      <c r="S79"/>
      <c r="T79"/>
      <c r="U79" s="326" t="s">
        <v>13</v>
      </c>
      <c r="V79" s="327"/>
      <c r="W79" s="89">
        <f>'Span Table '!K8</f>
        <v>3</v>
      </c>
      <c r="X79"/>
    </row>
    <row r="80" spans="1:34" ht="15.75" customHeight="1" thickBot="1" x14ac:dyDescent="0.3">
      <c r="A80" s="1"/>
      <c r="B80" s="25">
        <f t="shared" si="7"/>
        <v>222</v>
      </c>
      <c r="C80" s="93">
        <f t="shared" si="9"/>
        <v>26</v>
      </c>
      <c r="D80" s="93">
        <f t="shared" si="9"/>
        <v>23</v>
      </c>
      <c r="E80" s="93">
        <f t="shared" si="9"/>
        <v>21</v>
      </c>
      <c r="F80" s="93">
        <f t="shared" si="9"/>
        <v>20</v>
      </c>
      <c r="G80" s="93">
        <f t="shared" si="9"/>
        <v>18</v>
      </c>
      <c r="H80" s="93">
        <f t="shared" si="9"/>
        <v>17</v>
      </c>
      <c r="I80" s="93">
        <f t="shared" si="9"/>
        <v>16</v>
      </c>
      <c r="J80" s="93">
        <f t="shared" si="9"/>
        <v>15</v>
      </c>
      <c r="K80" s="93">
        <f t="shared" si="9"/>
        <v>14</v>
      </c>
      <c r="L80" s="25">
        <f t="shared" si="10"/>
        <v>174</v>
      </c>
      <c r="M80" s="37"/>
      <c r="N80" s="37"/>
      <c r="O80" s="37"/>
      <c r="P80" s="37"/>
      <c r="Q80" s="37"/>
      <c r="R80" s="37"/>
      <c r="S80" s="37"/>
      <c r="T80" s="37"/>
      <c r="U80" s="37"/>
      <c r="V80" s="37"/>
    </row>
    <row r="81" spans="1:22" ht="15.75" customHeight="1" thickBot="1" x14ac:dyDescent="0.3">
      <c r="A81" s="1"/>
      <c r="B81" s="25">
        <f t="shared" ref="B81:B85" si="11">B82+6</f>
        <v>216</v>
      </c>
      <c r="C81" s="93">
        <f t="shared" si="9"/>
        <v>28</v>
      </c>
      <c r="D81" s="93">
        <f t="shared" si="9"/>
        <v>25</v>
      </c>
      <c r="E81" s="93">
        <f t="shared" si="9"/>
        <v>23</v>
      </c>
      <c r="F81" s="93">
        <f t="shared" si="9"/>
        <v>21</v>
      </c>
      <c r="G81" s="93">
        <f t="shared" si="9"/>
        <v>20</v>
      </c>
      <c r="H81" s="93">
        <f t="shared" si="9"/>
        <v>18</v>
      </c>
      <c r="I81" s="93">
        <f t="shared" si="9"/>
        <v>17</v>
      </c>
      <c r="J81" s="93">
        <f t="shared" si="9"/>
        <v>16</v>
      </c>
      <c r="K81" s="93">
        <f t="shared" si="9"/>
        <v>15</v>
      </c>
      <c r="L81" s="25">
        <f t="shared" si="10"/>
        <v>180</v>
      </c>
      <c r="M81" s="37"/>
      <c r="N81" s="37"/>
      <c r="O81" s="37"/>
      <c r="P81" s="37"/>
      <c r="Q81" s="37"/>
      <c r="R81" s="37"/>
      <c r="S81" s="37"/>
      <c r="T81" s="37"/>
      <c r="U81" s="37"/>
      <c r="V81" s="37"/>
    </row>
    <row r="82" spans="1:22" ht="15.75" customHeight="1" thickBot="1" x14ac:dyDescent="0.3">
      <c r="A82" s="1"/>
      <c r="B82" s="25">
        <f t="shared" si="11"/>
        <v>210</v>
      </c>
      <c r="C82" s="93">
        <f t="shared" si="9"/>
        <v>30</v>
      </c>
      <c r="D82" s="93">
        <f t="shared" si="9"/>
        <v>27</v>
      </c>
      <c r="E82" s="93">
        <f t="shared" si="9"/>
        <v>25</v>
      </c>
      <c r="F82" s="93">
        <f t="shared" si="9"/>
        <v>23</v>
      </c>
      <c r="G82" s="93">
        <f t="shared" si="9"/>
        <v>21</v>
      </c>
      <c r="H82" s="93">
        <f t="shared" si="9"/>
        <v>20</v>
      </c>
      <c r="I82" s="93">
        <f t="shared" si="9"/>
        <v>19</v>
      </c>
      <c r="J82" s="93">
        <f t="shared" si="9"/>
        <v>17</v>
      </c>
      <c r="K82" s="93">
        <f t="shared" si="9"/>
        <v>17</v>
      </c>
      <c r="L82" s="25">
        <f t="shared" si="10"/>
        <v>186</v>
      </c>
      <c r="M82" s="37"/>
      <c r="N82" s="315" t="s">
        <v>187</v>
      </c>
      <c r="O82" s="316"/>
      <c r="P82" s="317"/>
      <c r="Q82" s="37"/>
      <c r="R82" s="37"/>
      <c r="S82" s="37"/>
      <c r="T82" s="37"/>
      <c r="U82" s="37"/>
      <c r="V82" s="37"/>
    </row>
    <row r="83" spans="1:22" ht="15.75" customHeight="1" thickBot="1" x14ac:dyDescent="0.3">
      <c r="A83" s="1"/>
      <c r="B83" s="25">
        <f t="shared" si="11"/>
        <v>204</v>
      </c>
      <c r="C83" s="93">
        <f t="shared" si="9"/>
        <v>31</v>
      </c>
      <c r="D83" s="93">
        <f t="shared" si="9"/>
        <v>29</v>
      </c>
      <c r="E83" s="93">
        <f t="shared" si="9"/>
        <v>26</v>
      </c>
      <c r="F83" s="93">
        <f t="shared" si="9"/>
        <v>24</v>
      </c>
      <c r="G83" s="93">
        <f t="shared" si="9"/>
        <v>22</v>
      </c>
      <c r="H83" s="93">
        <f t="shared" si="9"/>
        <v>21</v>
      </c>
      <c r="I83" s="93">
        <f t="shared" si="9"/>
        <v>20</v>
      </c>
      <c r="J83" s="93">
        <f t="shared" si="9"/>
        <v>18</v>
      </c>
      <c r="K83" s="93">
        <f t="shared" si="9"/>
        <v>17</v>
      </c>
      <c r="L83" s="25">
        <f t="shared" si="10"/>
        <v>192</v>
      </c>
      <c r="M83" s="37"/>
      <c r="N83" s="282">
        <f>W67*0.5*12</f>
        <v>58.666666666666657</v>
      </c>
      <c r="O83" s="283"/>
      <c r="P83" s="284"/>
      <c r="Q83" s="98">
        <f>MATCH(N83,C66:H66,0)</f>
        <v>1</v>
      </c>
      <c r="R83" s="37"/>
      <c r="S83" s="37"/>
      <c r="T83" s="37"/>
      <c r="U83" s="37"/>
      <c r="V83" s="37"/>
    </row>
    <row r="84" spans="1:22" ht="15.75" customHeight="1" thickBot="1" x14ac:dyDescent="0.3">
      <c r="A84" s="1"/>
      <c r="B84" s="25">
        <f t="shared" si="11"/>
        <v>198</v>
      </c>
      <c r="C84" s="93">
        <f t="shared" si="9"/>
        <v>33</v>
      </c>
      <c r="D84" s="93">
        <f t="shared" si="9"/>
        <v>30</v>
      </c>
      <c r="E84" s="93">
        <f t="shared" si="9"/>
        <v>28</v>
      </c>
      <c r="F84" s="93">
        <f t="shared" si="9"/>
        <v>26</v>
      </c>
      <c r="G84" s="93">
        <f t="shared" si="9"/>
        <v>24</v>
      </c>
      <c r="H84" s="93">
        <f t="shared" si="9"/>
        <v>22</v>
      </c>
      <c r="I84" s="93">
        <f t="shared" si="9"/>
        <v>21</v>
      </c>
      <c r="J84" s="93">
        <f t="shared" si="9"/>
        <v>20</v>
      </c>
      <c r="K84" s="93">
        <f t="shared" si="9"/>
        <v>19</v>
      </c>
      <c r="L84" s="25">
        <f t="shared" si="10"/>
        <v>198</v>
      </c>
      <c r="M84" s="37"/>
      <c r="N84" s="285" t="s">
        <v>173</v>
      </c>
      <c r="O84" s="286"/>
      <c r="P84" s="287"/>
      <c r="Q84" s="96"/>
      <c r="R84" s="37"/>
      <c r="S84" s="37"/>
      <c r="T84" s="37"/>
      <c r="U84" s="37"/>
      <c r="V84" s="37"/>
    </row>
    <row r="85" spans="1:22" ht="15.75" customHeight="1" thickBot="1" x14ac:dyDescent="0.3">
      <c r="A85" s="1"/>
      <c r="B85" s="25">
        <f t="shared" si="11"/>
        <v>192</v>
      </c>
      <c r="C85" s="93">
        <f t="shared" si="9"/>
        <v>35</v>
      </c>
      <c r="D85" s="93">
        <f t="shared" si="9"/>
        <v>32</v>
      </c>
      <c r="E85" s="93">
        <f t="shared" si="9"/>
        <v>29</v>
      </c>
      <c r="F85" s="93">
        <f t="shared" si="9"/>
        <v>27</v>
      </c>
      <c r="G85" s="93">
        <f t="shared" si="9"/>
        <v>25</v>
      </c>
      <c r="H85" s="93">
        <f t="shared" si="9"/>
        <v>24</v>
      </c>
      <c r="I85" s="93">
        <f t="shared" si="9"/>
        <v>22</v>
      </c>
      <c r="J85" s="93">
        <f t="shared" si="9"/>
        <v>21</v>
      </c>
      <c r="K85" s="93">
        <f t="shared" si="9"/>
        <v>20</v>
      </c>
      <c r="L85" s="25">
        <f t="shared" si="10"/>
        <v>204</v>
      </c>
      <c r="M85" s="37"/>
      <c r="N85" s="318">
        <f>ROUNDUP(('Design Loads'!Q57),0)</f>
        <v>22</v>
      </c>
      <c r="O85" s="319"/>
      <c r="P85" s="320"/>
      <c r="Q85" s="97">
        <f>MATCH(N85,C67:C101,1)</f>
        <v>12</v>
      </c>
      <c r="R85" s="37"/>
      <c r="S85" s="37"/>
      <c r="T85" s="37"/>
      <c r="U85" s="37"/>
      <c r="V85" s="37"/>
    </row>
    <row r="86" spans="1:22" ht="15.75" customHeight="1" thickBot="1" x14ac:dyDescent="0.3">
      <c r="A86" s="1"/>
      <c r="B86" s="25">
        <f t="shared" ref="B86:B98" si="12">B87+6</f>
        <v>186</v>
      </c>
      <c r="C86" s="93">
        <f t="shared" si="9"/>
        <v>38</v>
      </c>
      <c r="D86" s="93">
        <f t="shared" si="9"/>
        <v>34</v>
      </c>
      <c r="E86" s="93">
        <f t="shared" si="9"/>
        <v>31</v>
      </c>
      <c r="F86" s="93">
        <f t="shared" si="9"/>
        <v>29</v>
      </c>
      <c r="G86" s="93">
        <f t="shared" si="9"/>
        <v>27</v>
      </c>
      <c r="H86" s="93">
        <f t="shared" si="9"/>
        <v>25</v>
      </c>
      <c r="I86" s="93">
        <f t="shared" si="9"/>
        <v>24</v>
      </c>
      <c r="J86" s="93">
        <f t="shared" si="9"/>
        <v>22</v>
      </c>
      <c r="K86" s="93">
        <f t="shared" si="9"/>
        <v>21</v>
      </c>
      <c r="L86" s="25">
        <f t="shared" si="10"/>
        <v>210</v>
      </c>
      <c r="M86" s="37"/>
      <c r="N86" s="269" t="s">
        <v>188</v>
      </c>
      <c r="O86" s="270"/>
      <c r="P86" s="271"/>
      <c r="Q86" s="120"/>
      <c r="R86" s="37"/>
      <c r="S86" s="37"/>
      <c r="T86" s="37"/>
      <c r="U86" s="37"/>
      <c r="V86" s="37"/>
    </row>
    <row r="87" spans="1:22" ht="15.75" customHeight="1" thickBot="1" x14ac:dyDescent="0.3">
      <c r="A87" s="1"/>
      <c r="B87" s="25">
        <f t="shared" si="12"/>
        <v>180</v>
      </c>
      <c r="C87" s="93">
        <f t="shared" si="9"/>
        <v>40</v>
      </c>
      <c r="D87" s="93">
        <f t="shared" si="9"/>
        <v>36</v>
      </c>
      <c r="E87" s="93">
        <f t="shared" si="9"/>
        <v>33</v>
      </c>
      <c r="F87" s="93">
        <f t="shared" si="9"/>
        <v>31</v>
      </c>
      <c r="G87" s="93">
        <f t="shared" si="9"/>
        <v>29</v>
      </c>
      <c r="H87" s="93">
        <f t="shared" si="9"/>
        <v>27</v>
      </c>
      <c r="I87" s="93">
        <f t="shared" si="9"/>
        <v>25</v>
      </c>
      <c r="J87" s="93">
        <f t="shared" si="9"/>
        <v>24</v>
      </c>
      <c r="K87" s="93">
        <f t="shared" si="9"/>
        <v>22</v>
      </c>
      <c r="L87" s="25">
        <f t="shared" si="10"/>
        <v>216</v>
      </c>
      <c r="M87" s="37"/>
      <c r="N87" s="272">
        <f>INDEX(B67:B101,MATCH(N85,C67:C101,1),1)</f>
        <v>234</v>
      </c>
      <c r="O87" s="273"/>
      <c r="P87" s="274"/>
      <c r="R87" s="37"/>
      <c r="S87" s="37"/>
      <c r="T87" s="37"/>
      <c r="U87" s="37"/>
      <c r="V87" s="37"/>
    </row>
    <row r="88" spans="1:22" ht="15.75" customHeight="1" thickBot="1" x14ac:dyDescent="0.3">
      <c r="A88" s="1"/>
      <c r="B88" s="25">
        <f t="shared" si="12"/>
        <v>174</v>
      </c>
      <c r="C88" s="93">
        <f t="shared" si="9"/>
        <v>43</v>
      </c>
      <c r="D88" s="93">
        <f t="shared" si="9"/>
        <v>39</v>
      </c>
      <c r="E88" s="93">
        <f t="shared" si="9"/>
        <v>36</v>
      </c>
      <c r="F88" s="93">
        <f t="shared" si="9"/>
        <v>33</v>
      </c>
      <c r="G88" s="93">
        <f t="shared" si="9"/>
        <v>31</v>
      </c>
      <c r="H88" s="93">
        <f t="shared" si="9"/>
        <v>29</v>
      </c>
      <c r="I88" s="93">
        <f t="shared" si="9"/>
        <v>27</v>
      </c>
      <c r="J88" s="93">
        <f t="shared" si="9"/>
        <v>25</v>
      </c>
      <c r="K88" s="93">
        <f t="shared" si="9"/>
        <v>24</v>
      </c>
      <c r="L88" s="25">
        <f t="shared" si="10"/>
        <v>222</v>
      </c>
      <c r="M88" s="37"/>
      <c r="N88" s="37"/>
      <c r="O88" s="37"/>
      <c r="P88" s="37"/>
      <c r="Q88" s="37"/>
      <c r="R88" s="37"/>
      <c r="S88" s="37"/>
      <c r="T88" s="37"/>
      <c r="U88" s="37"/>
      <c r="V88" s="37"/>
    </row>
    <row r="89" spans="1:22" ht="15.75" customHeight="1" thickBot="1" x14ac:dyDescent="0.3">
      <c r="A89" s="1"/>
      <c r="B89" s="25">
        <f t="shared" si="12"/>
        <v>168</v>
      </c>
      <c r="C89" s="93">
        <f t="shared" si="9"/>
        <v>46</v>
      </c>
      <c r="D89" s="93">
        <f t="shared" si="9"/>
        <v>42</v>
      </c>
      <c r="E89" s="93">
        <f t="shared" si="9"/>
        <v>38</v>
      </c>
      <c r="F89" s="93">
        <f t="shared" si="9"/>
        <v>35</v>
      </c>
      <c r="G89" s="93">
        <f t="shared" si="9"/>
        <v>33</v>
      </c>
      <c r="H89" s="93">
        <f t="shared" si="9"/>
        <v>31</v>
      </c>
      <c r="I89" s="93">
        <f t="shared" si="9"/>
        <v>29</v>
      </c>
      <c r="J89" s="93">
        <f t="shared" si="9"/>
        <v>27</v>
      </c>
      <c r="K89" s="93">
        <f t="shared" si="9"/>
        <v>26</v>
      </c>
      <c r="L89" s="25">
        <f t="shared" si="10"/>
        <v>228</v>
      </c>
      <c r="M89" s="37"/>
      <c r="O89" s="37"/>
      <c r="P89" s="37"/>
      <c r="Q89" s="37"/>
      <c r="R89" s="37"/>
      <c r="S89" s="37"/>
      <c r="T89" s="37"/>
      <c r="U89" s="37"/>
      <c r="V89" s="37"/>
    </row>
    <row r="90" spans="1:22" ht="15.75" customHeight="1" thickBot="1" x14ac:dyDescent="0.3">
      <c r="A90" s="1"/>
      <c r="B90" s="25">
        <f t="shared" si="12"/>
        <v>162</v>
      </c>
      <c r="C90" s="93">
        <f t="shared" si="9"/>
        <v>49</v>
      </c>
      <c r="D90" s="93">
        <f t="shared" si="9"/>
        <v>45</v>
      </c>
      <c r="E90" s="93">
        <f t="shared" si="9"/>
        <v>41</v>
      </c>
      <c r="F90" s="93">
        <f t="shared" si="9"/>
        <v>38</v>
      </c>
      <c r="G90" s="93">
        <f t="shared" si="9"/>
        <v>35</v>
      </c>
      <c r="H90" s="93">
        <f t="shared" si="9"/>
        <v>33</v>
      </c>
      <c r="I90" s="93">
        <f t="shared" si="9"/>
        <v>31</v>
      </c>
      <c r="J90" s="93">
        <f t="shared" si="9"/>
        <v>29</v>
      </c>
      <c r="K90" s="93">
        <f t="shared" si="9"/>
        <v>27</v>
      </c>
      <c r="L90" s="25">
        <f t="shared" si="10"/>
        <v>234</v>
      </c>
      <c r="M90" s="37"/>
      <c r="N90" s="37"/>
      <c r="O90" s="37"/>
      <c r="P90" s="37"/>
      <c r="Q90" s="37"/>
      <c r="R90" s="37"/>
      <c r="S90" s="37"/>
      <c r="T90" s="37"/>
      <c r="U90" s="37"/>
      <c r="V90" s="37"/>
    </row>
    <row r="91" spans="1:22" ht="15.75" customHeight="1" thickBot="1" x14ac:dyDescent="0.3">
      <c r="A91" s="1"/>
      <c r="B91" s="25">
        <f t="shared" si="12"/>
        <v>156</v>
      </c>
      <c r="C91" s="93">
        <f t="shared" si="9"/>
        <v>53</v>
      </c>
      <c r="D91" s="93">
        <f t="shared" si="9"/>
        <v>48</v>
      </c>
      <c r="E91" s="93">
        <f t="shared" si="9"/>
        <v>44</v>
      </c>
      <c r="F91" s="93">
        <f t="shared" si="9"/>
        <v>41</v>
      </c>
      <c r="G91" s="93">
        <f t="shared" si="9"/>
        <v>38</v>
      </c>
      <c r="H91" s="93">
        <f t="shared" si="9"/>
        <v>35</v>
      </c>
      <c r="I91" s="93">
        <f t="shared" si="9"/>
        <v>33</v>
      </c>
      <c r="J91" s="93">
        <f t="shared" si="9"/>
        <v>31</v>
      </c>
      <c r="K91" s="93">
        <f t="shared" si="9"/>
        <v>30</v>
      </c>
      <c r="L91" s="25">
        <f t="shared" si="10"/>
        <v>240</v>
      </c>
      <c r="M91" s="37"/>
      <c r="N91" s="37"/>
      <c r="O91" s="37"/>
      <c r="P91" s="37"/>
      <c r="Q91" s="37"/>
      <c r="R91" s="37"/>
      <c r="S91" s="37"/>
      <c r="T91" s="37"/>
      <c r="U91" s="37"/>
      <c r="V91" s="37"/>
    </row>
    <row r="92" spans="1:22" ht="15.75" customHeight="1" thickBot="1" x14ac:dyDescent="0.3">
      <c r="A92" s="1"/>
      <c r="B92" s="25">
        <f t="shared" si="12"/>
        <v>150</v>
      </c>
      <c r="C92" s="93">
        <f t="shared" si="9"/>
        <v>58</v>
      </c>
      <c r="D92" s="93">
        <f t="shared" si="9"/>
        <v>52</v>
      </c>
      <c r="E92" s="93">
        <f t="shared" si="9"/>
        <v>48</v>
      </c>
      <c r="F92" s="93">
        <f t="shared" si="9"/>
        <v>44</v>
      </c>
      <c r="G92" s="93">
        <f t="shared" si="9"/>
        <v>41</v>
      </c>
      <c r="H92" s="93">
        <f t="shared" si="9"/>
        <v>38</v>
      </c>
      <c r="I92" s="93">
        <f t="shared" si="9"/>
        <v>36</v>
      </c>
      <c r="J92" s="93">
        <f t="shared" si="9"/>
        <v>34</v>
      </c>
      <c r="K92" s="93">
        <f t="shared" si="9"/>
        <v>32</v>
      </c>
      <c r="L92" s="25">
        <f t="shared" si="10"/>
        <v>246</v>
      </c>
      <c r="M92" s="37"/>
      <c r="N92" s="37"/>
      <c r="O92" s="37"/>
      <c r="P92" s="37"/>
      <c r="Q92" s="37"/>
      <c r="R92" s="37"/>
      <c r="S92" s="37"/>
      <c r="T92" s="37"/>
      <c r="U92" s="37"/>
      <c r="V92" s="37"/>
    </row>
    <row r="93" spans="1:22" ht="15.75" customHeight="1" thickBot="1" x14ac:dyDescent="0.3">
      <c r="A93" s="1"/>
      <c r="B93" s="25">
        <f t="shared" si="12"/>
        <v>144</v>
      </c>
      <c r="C93" s="93">
        <f t="shared" si="9"/>
        <v>62</v>
      </c>
      <c r="D93" s="93">
        <f t="shared" si="9"/>
        <v>57</v>
      </c>
      <c r="E93" s="93">
        <f t="shared" si="9"/>
        <v>52</v>
      </c>
      <c r="F93" s="93">
        <f t="shared" si="9"/>
        <v>48</v>
      </c>
      <c r="G93" s="93">
        <f t="shared" si="9"/>
        <v>44</v>
      </c>
      <c r="H93" s="93">
        <f t="shared" si="9"/>
        <v>42</v>
      </c>
      <c r="I93" s="93">
        <f t="shared" si="9"/>
        <v>39</v>
      </c>
      <c r="J93" s="93">
        <f t="shared" si="9"/>
        <v>37</v>
      </c>
      <c r="K93" s="93">
        <f t="shared" si="9"/>
        <v>35</v>
      </c>
      <c r="L93" s="25">
        <f t="shared" si="10"/>
        <v>252</v>
      </c>
      <c r="M93" s="37"/>
      <c r="N93" s="37"/>
      <c r="O93" s="37"/>
      <c r="P93" s="37"/>
      <c r="Q93" s="37"/>
      <c r="R93" s="37"/>
      <c r="S93" s="37"/>
      <c r="T93" s="37"/>
      <c r="U93" s="37"/>
      <c r="V93" s="37"/>
    </row>
    <row r="94" spans="1:22" ht="15.75" customHeight="1" thickBot="1" x14ac:dyDescent="0.3">
      <c r="A94" s="1"/>
      <c r="B94" s="25">
        <f t="shared" si="12"/>
        <v>138</v>
      </c>
      <c r="C94" s="93">
        <f t="shared" si="9"/>
        <v>68</v>
      </c>
      <c r="D94" s="93">
        <f t="shared" si="9"/>
        <v>62</v>
      </c>
      <c r="E94" s="93">
        <f t="shared" si="9"/>
        <v>57</v>
      </c>
      <c r="F94" s="93">
        <f t="shared" si="9"/>
        <v>52</v>
      </c>
      <c r="G94" s="93">
        <f t="shared" si="9"/>
        <v>48</v>
      </c>
      <c r="H94" s="93">
        <f t="shared" si="9"/>
        <v>45</v>
      </c>
      <c r="I94" s="93">
        <f t="shared" si="9"/>
        <v>42</v>
      </c>
      <c r="J94" s="93">
        <f t="shared" si="9"/>
        <v>40</v>
      </c>
      <c r="K94" s="93">
        <f t="shared" si="9"/>
        <v>38</v>
      </c>
      <c r="L94" s="25">
        <f t="shared" si="10"/>
        <v>258</v>
      </c>
      <c r="M94" s="37"/>
      <c r="N94" s="37"/>
      <c r="O94" s="37"/>
      <c r="P94" s="37"/>
      <c r="Q94" s="37"/>
      <c r="R94" s="37"/>
      <c r="S94" s="37"/>
      <c r="T94" s="37"/>
      <c r="U94" s="37"/>
      <c r="V94" s="37"/>
    </row>
    <row r="95" spans="1:22" ht="15.75" customHeight="1" thickBot="1" x14ac:dyDescent="0.3">
      <c r="A95" s="1"/>
      <c r="B95" s="25">
        <f t="shared" si="12"/>
        <v>132</v>
      </c>
      <c r="C95" s="93">
        <f t="shared" si="9"/>
        <v>74</v>
      </c>
      <c r="D95" s="93">
        <f t="shared" si="9"/>
        <v>67</v>
      </c>
      <c r="E95" s="93">
        <f t="shared" si="9"/>
        <v>62</v>
      </c>
      <c r="F95" s="93">
        <f t="shared" si="9"/>
        <v>57</v>
      </c>
      <c r="G95" s="93">
        <f t="shared" si="9"/>
        <v>53</v>
      </c>
      <c r="H95" s="93">
        <f t="shared" si="9"/>
        <v>49</v>
      </c>
      <c r="I95" s="93">
        <f t="shared" ref="D95:K101" si="13">ROUNDUP(+MIN((15000*8*$J$6*144)/(I$66*$B95^2),(($B95/120)*384*144*10000000*$J$4)/(5*I$66*$B95^4)),0)</f>
        <v>46</v>
      </c>
      <c r="J95" s="93">
        <f t="shared" si="13"/>
        <v>43</v>
      </c>
      <c r="K95" s="93">
        <f t="shared" si="13"/>
        <v>41</v>
      </c>
      <c r="L95" s="25">
        <f t="shared" si="10"/>
        <v>264</v>
      </c>
      <c r="M95" s="37"/>
      <c r="N95" s="37"/>
      <c r="O95" s="37"/>
      <c r="P95" s="37"/>
      <c r="Q95" s="37"/>
      <c r="R95" s="37"/>
      <c r="S95" s="37"/>
      <c r="T95" s="37"/>
      <c r="U95" s="37"/>
      <c r="V95" s="37"/>
    </row>
    <row r="96" spans="1:22" ht="15.75" customHeight="1" thickBot="1" x14ac:dyDescent="0.3">
      <c r="A96" s="1"/>
      <c r="B96" s="25">
        <f t="shared" si="12"/>
        <v>126</v>
      </c>
      <c r="C96" s="93">
        <f t="shared" si="9"/>
        <v>81</v>
      </c>
      <c r="D96" s="93">
        <f t="shared" si="13"/>
        <v>74</v>
      </c>
      <c r="E96" s="93">
        <f t="shared" si="13"/>
        <v>68</v>
      </c>
      <c r="F96" s="93">
        <f t="shared" si="13"/>
        <v>62</v>
      </c>
      <c r="G96" s="93">
        <f t="shared" si="13"/>
        <v>58</v>
      </c>
      <c r="H96" s="93">
        <f t="shared" si="13"/>
        <v>54</v>
      </c>
      <c r="I96" s="93">
        <f t="shared" si="13"/>
        <v>51</v>
      </c>
      <c r="J96" s="93">
        <f t="shared" si="13"/>
        <v>48</v>
      </c>
      <c r="K96" s="93">
        <f t="shared" si="13"/>
        <v>45</v>
      </c>
      <c r="L96" s="25">
        <f t="shared" si="10"/>
        <v>270</v>
      </c>
      <c r="M96" s="37"/>
      <c r="N96" s="37"/>
      <c r="O96" s="37"/>
      <c r="P96" s="37"/>
      <c r="Q96" s="37"/>
      <c r="R96" s="37"/>
      <c r="S96" s="37"/>
      <c r="T96" s="37"/>
      <c r="U96" s="37"/>
      <c r="V96" s="37"/>
    </row>
    <row r="97" spans="1:22" ht="15.75" customHeight="1" thickBot="1" x14ac:dyDescent="0.3">
      <c r="A97" s="1"/>
      <c r="B97" s="25">
        <f t="shared" si="12"/>
        <v>120</v>
      </c>
      <c r="C97" s="93">
        <f t="shared" si="9"/>
        <v>90</v>
      </c>
      <c r="D97" s="93">
        <f t="shared" si="13"/>
        <v>81</v>
      </c>
      <c r="E97" s="93">
        <f t="shared" si="13"/>
        <v>75</v>
      </c>
      <c r="F97" s="93">
        <f t="shared" si="13"/>
        <v>69</v>
      </c>
      <c r="G97" s="93">
        <f t="shared" si="13"/>
        <v>64</v>
      </c>
      <c r="H97" s="93">
        <f t="shared" si="13"/>
        <v>60</v>
      </c>
      <c r="I97" s="93">
        <f t="shared" si="13"/>
        <v>56</v>
      </c>
      <c r="J97" s="93">
        <f t="shared" si="13"/>
        <v>53</v>
      </c>
      <c r="K97" s="93">
        <f t="shared" si="13"/>
        <v>50</v>
      </c>
      <c r="L97" s="25">
        <f t="shared" si="10"/>
        <v>276</v>
      </c>
      <c r="M97" s="37"/>
      <c r="N97" s="37"/>
      <c r="O97" s="37"/>
      <c r="P97" s="37"/>
      <c r="Q97" s="37"/>
      <c r="R97" s="37"/>
      <c r="S97" s="37"/>
      <c r="T97" s="37"/>
      <c r="U97" s="37"/>
      <c r="V97" s="37"/>
    </row>
    <row r="98" spans="1:22" ht="15.75" customHeight="1" thickBot="1" x14ac:dyDescent="0.3">
      <c r="A98" s="1"/>
      <c r="B98" s="25">
        <f t="shared" si="12"/>
        <v>114</v>
      </c>
      <c r="C98" s="93">
        <f t="shared" si="9"/>
        <v>99</v>
      </c>
      <c r="D98" s="93">
        <f t="shared" si="13"/>
        <v>90</v>
      </c>
      <c r="E98" s="93">
        <f t="shared" si="13"/>
        <v>83</v>
      </c>
      <c r="F98" s="93">
        <f t="shared" si="13"/>
        <v>76</v>
      </c>
      <c r="G98" s="93">
        <f t="shared" si="13"/>
        <v>71</v>
      </c>
      <c r="H98" s="93">
        <f t="shared" si="13"/>
        <v>66</v>
      </c>
      <c r="I98" s="93">
        <f t="shared" si="13"/>
        <v>62</v>
      </c>
      <c r="J98" s="93">
        <f t="shared" si="13"/>
        <v>58</v>
      </c>
      <c r="K98" s="93">
        <f t="shared" si="13"/>
        <v>55</v>
      </c>
      <c r="L98" s="25">
        <f t="shared" si="10"/>
        <v>282</v>
      </c>
      <c r="M98" s="37"/>
      <c r="N98" s="37"/>
      <c r="O98" s="37"/>
      <c r="P98" s="37"/>
      <c r="Q98" s="37"/>
      <c r="R98" s="37"/>
      <c r="S98" s="37"/>
      <c r="T98" s="37"/>
      <c r="U98" s="37"/>
      <c r="V98" s="37"/>
    </row>
    <row r="99" spans="1:22" ht="15.75" customHeight="1" thickBot="1" x14ac:dyDescent="0.3">
      <c r="A99" s="1"/>
      <c r="B99" s="25">
        <f>B100+6</f>
        <v>108</v>
      </c>
      <c r="C99" s="93">
        <f t="shared" si="9"/>
        <v>111</v>
      </c>
      <c r="D99" s="93">
        <f t="shared" si="13"/>
        <v>100</v>
      </c>
      <c r="E99" s="93">
        <f t="shared" si="13"/>
        <v>92</v>
      </c>
      <c r="F99" s="93">
        <f t="shared" si="13"/>
        <v>85</v>
      </c>
      <c r="G99" s="93">
        <f t="shared" si="13"/>
        <v>79</v>
      </c>
      <c r="H99" s="93">
        <f t="shared" si="13"/>
        <v>73</v>
      </c>
      <c r="I99" s="93">
        <f t="shared" si="13"/>
        <v>69</v>
      </c>
      <c r="J99" s="93">
        <f t="shared" si="13"/>
        <v>65</v>
      </c>
      <c r="K99" s="93">
        <f t="shared" si="13"/>
        <v>61</v>
      </c>
      <c r="L99" s="25">
        <f t="shared" si="10"/>
        <v>288</v>
      </c>
      <c r="M99" s="37"/>
      <c r="N99" s="37"/>
      <c r="O99" s="37"/>
      <c r="P99" s="37"/>
      <c r="Q99" s="37"/>
      <c r="R99" s="37"/>
      <c r="S99" s="37"/>
      <c r="T99" s="37"/>
      <c r="U99" s="37"/>
      <c r="V99" s="37"/>
    </row>
    <row r="100" spans="1:22" ht="15.75" customHeight="1" thickBot="1" x14ac:dyDescent="0.3">
      <c r="A100" s="1"/>
      <c r="B100" s="25">
        <f>B101+6</f>
        <v>102</v>
      </c>
      <c r="C100" s="93">
        <f t="shared" si="9"/>
        <v>124</v>
      </c>
      <c r="D100" s="93">
        <f t="shared" si="13"/>
        <v>113</v>
      </c>
      <c r="E100" s="93">
        <f t="shared" si="13"/>
        <v>103</v>
      </c>
      <c r="F100" s="93">
        <f t="shared" si="13"/>
        <v>95</v>
      </c>
      <c r="G100" s="93">
        <f t="shared" si="13"/>
        <v>88</v>
      </c>
      <c r="H100" s="93">
        <f t="shared" si="13"/>
        <v>82</v>
      </c>
      <c r="I100" s="93">
        <f t="shared" si="13"/>
        <v>77</v>
      </c>
      <c r="J100" s="93">
        <f t="shared" si="13"/>
        <v>72</v>
      </c>
      <c r="K100" s="93">
        <f t="shared" si="13"/>
        <v>68</v>
      </c>
      <c r="L100" s="25">
        <f t="shared" si="10"/>
        <v>294</v>
      </c>
      <c r="M100" s="37"/>
      <c r="N100" s="37"/>
      <c r="O100" s="37"/>
      <c r="P100" s="37"/>
      <c r="Q100" s="37"/>
      <c r="R100" s="37"/>
      <c r="S100" s="37"/>
      <c r="T100" s="37"/>
      <c r="U100" s="37"/>
      <c r="V100" s="37"/>
    </row>
    <row r="101" spans="1:22" ht="15.75" customHeight="1" thickBot="1" x14ac:dyDescent="0.3">
      <c r="A101" s="1"/>
      <c r="B101" s="26">
        <v>96</v>
      </c>
      <c r="C101" s="93">
        <f t="shared" si="9"/>
        <v>140</v>
      </c>
      <c r="D101" s="93">
        <f t="shared" si="13"/>
        <v>127</v>
      </c>
      <c r="E101" s="93">
        <f t="shared" si="13"/>
        <v>116</v>
      </c>
      <c r="F101" s="93">
        <f t="shared" si="13"/>
        <v>107</v>
      </c>
      <c r="G101" s="93">
        <f t="shared" si="13"/>
        <v>99</v>
      </c>
      <c r="H101" s="93">
        <f t="shared" si="13"/>
        <v>93</v>
      </c>
      <c r="I101" s="93">
        <f t="shared" si="13"/>
        <v>87</v>
      </c>
      <c r="J101" s="93">
        <f t="shared" si="13"/>
        <v>82</v>
      </c>
      <c r="K101" s="93">
        <f t="shared" si="13"/>
        <v>77</v>
      </c>
      <c r="L101" s="26">
        <f t="shared" si="10"/>
        <v>300</v>
      </c>
      <c r="M101" s="37"/>
      <c r="N101" s="37"/>
      <c r="O101" s="37"/>
      <c r="P101" s="37"/>
      <c r="Q101" s="37"/>
      <c r="R101" s="37"/>
      <c r="S101" s="37"/>
      <c r="T101" s="37"/>
      <c r="U101" s="37"/>
      <c r="V101" s="37"/>
    </row>
    <row r="102" spans="1:22" ht="15.75" customHeight="1" x14ac:dyDescent="0.25">
      <c r="A102" s="1"/>
      <c r="B102" s="1"/>
      <c r="C102" s="1"/>
      <c r="D102" s="1"/>
      <c r="E102" s="1"/>
      <c r="F102" s="1"/>
      <c r="G102" s="1"/>
      <c r="H102" s="1"/>
      <c r="I102" s="1"/>
      <c r="J102" s="1"/>
      <c r="K102" s="1"/>
      <c r="L102" s="1"/>
      <c r="M102" s="37"/>
      <c r="N102" s="37"/>
      <c r="O102" s="37"/>
      <c r="P102" s="37"/>
      <c r="Q102" s="37"/>
      <c r="R102" s="37"/>
      <c r="S102" s="37"/>
      <c r="T102" s="37"/>
      <c r="U102" s="37"/>
      <c r="V102" s="37"/>
    </row>
    <row r="103" spans="1:22" ht="15.75" customHeight="1" x14ac:dyDescent="0.25">
      <c r="A103" s="1"/>
      <c r="B103" s="1"/>
      <c r="C103" s="1"/>
      <c r="D103" s="1"/>
      <c r="E103" s="1"/>
      <c r="F103" s="1"/>
      <c r="G103" s="1"/>
      <c r="H103" s="1" t="s">
        <v>189</v>
      </c>
      <c r="J103" s="73">
        <f>SUM(N67*12+O67)</f>
        <v>170</v>
      </c>
      <c r="K103" s="1" t="s">
        <v>190</v>
      </c>
      <c r="M103" s="37"/>
      <c r="R103" s="37"/>
      <c r="S103" s="37"/>
      <c r="T103" s="37"/>
      <c r="U103" s="37"/>
      <c r="V103" s="37"/>
    </row>
    <row r="104" spans="1:22" ht="15.75" customHeight="1" thickBot="1" x14ac:dyDescent="0.3">
      <c r="A104" s="1"/>
      <c r="B104" s="52" t="s">
        <v>191</v>
      </c>
      <c r="C104" s="229" t="s">
        <v>167</v>
      </c>
      <c r="D104" s="229"/>
      <c r="E104" s="229"/>
      <c r="F104" s="229"/>
      <c r="G104" s="229"/>
      <c r="H104" s="229"/>
      <c r="I104" s="229"/>
      <c r="J104" s="229"/>
      <c r="K104" s="229"/>
      <c r="L104" s="1"/>
      <c r="M104" s="37"/>
      <c r="R104" s="37"/>
      <c r="S104" s="37"/>
      <c r="T104" s="37"/>
      <c r="U104" s="37"/>
      <c r="V104" s="37"/>
    </row>
    <row r="105" spans="1:22" ht="15.75" customHeight="1" x14ac:dyDescent="0.25">
      <c r="A105" s="1"/>
      <c r="B105" s="306" t="s">
        <v>192</v>
      </c>
      <c r="C105" s="307"/>
      <c r="D105" s="307"/>
      <c r="E105" s="307"/>
      <c r="F105" s="307"/>
      <c r="G105" s="307"/>
      <c r="H105" s="307"/>
      <c r="I105" s="307"/>
      <c r="J105" s="307"/>
      <c r="K105" s="308"/>
      <c r="L105" s="1"/>
      <c r="M105" s="37"/>
      <c r="R105" s="37"/>
      <c r="S105" s="37"/>
      <c r="T105" s="37"/>
      <c r="U105" s="37"/>
      <c r="V105" s="37"/>
    </row>
    <row r="106" spans="1:22" ht="15.75" customHeight="1" thickBot="1" x14ac:dyDescent="0.3">
      <c r="A106" s="1"/>
      <c r="B106" s="51" t="s">
        <v>169</v>
      </c>
      <c r="C106" s="298" t="s">
        <v>193</v>
      </c>
      <c r="D106" s="298"/>
      <c r="E106" s="298"/>
      <c r="F106" s="298"/>
      <c r="G106" s="298"/>
      <c r="H106" s="298"/>
      <c r="I106" s="298"/>
      <c r="J106" s="298"/>
      <c r="K106" s="299"/>
      <c r="L106" s="51" t="s">
        <v>169</v>
      </c>
      <c r="M106" s="37"/>
      <c r="N106" s="95"/>
      <c r="O106" s="95"/>
      <c r="P106" s="95"/>
      <c r="Q106" s="37"/>
      <c r="R106" s="37"/>
      <c r="S106" s="37"/>
      <c r="T106" s="37"/>
      <c r="U106" s="37"/>
      <c r="V106" s="37"/>
    </row>
    <row r="107" spans="1:22" ht="15.75" customHeight="1" thickBot="1" x14ac:dyDescent="0.3">
      <c r="A107" s="1"/>
      <c r="B107" s="27" t="s">
        <v>171</v>
      </c>
      <c r="C107" s="94">
        <f>N27</f>
        <v>117.33333333333331</v>
      </c>
      <c r="D107" s="94">
        <f>(+C107+6)</f>
        <v>123.33333333333331</v>
      </c>
      <c r="E107" s="94">
        <f t="shared" ref="E107:K107" si="14">(+D107+6)</f>
        <v>129.33333333333331</v>
      </c>
      <c r="F107" s="94">
        <f t="shared" si="14"/>
        <v>135.33333333333331</v>
      </c>
      <c r="G107" s="94">
        <f t="shared" si="14"/>
        <v>141.33333333333331</v>
      </c>
      <c r="H107" s="94">
        <f t="shared" si="14"/>
        <v>147.33333333333331</v>
      </c>
      <c r="I107" s="94">
        <f t="shared" si="14"/>
        <v>153.33333333333331</v>
      </c>
      <c r="J107" s="94">
        <f t="shared" si="14"/>
        <v>159.33333333333331</v>
      </c>
      <c r="K107" s="94">
        <f t="shared" si="14"/>
        <v>165.33333333333331</v>
      </c>
      <c r="L107" s="27" t="s">
        <v>171</v>
      </c>
      <c r="M107" s="37"/>
      <c r="N107" s="315" t="s">
        <v>194</v>
      </c>
      <c r="O107" s="316"/>
      <c r="P107" s="317"/>
      <c r="Q107" s="37"/>
      <c r="R107" s="37"/>
      <c r="S107" s="37"/>
      <c r="T107" s="37"/>
      <c r="U107" s="37"/>
      <c r="V107" s="37"/>
    </row>
    <row r="108" spans="1:22" ht="15.75" customHeight="1" thickBot="1" x14ac:dyDescent="0.3">
      <c r="A108" s="1"/>
      <c r="B108" s="24">
        <v>300</v>
      </c>
      <c r="C108" s="14">
        <f>ROUNDUP(+MIN((15000*8*$J$6*IF('Span Table '!$T$5="Yes",2,1)*144)/(C$107*$B108*$J$103),(($B108/120)*48*144*10000000*$J$4*IF('Span Table '!$T$5="Yes",2,1)*2)/(C$107*$B108^3*$J$103)),0)</f>
        <v>12</v>
      </c>
      <c r="D108" s="14">
        <f>ROUNDUP(+MIN((15000*8*$J$6*IF('Span Table '!$T$5="Yes",2,1)*144)/(D$107*$B108*$J$103),(($B108/120)*48*144*10000000*$J$4*IF('Span Table '!$T$5="Yes",2,1)*2)/(D$107*$B108^3*$J$103)),0)</f>
        <v>11</v>
      </c>
      <c r="E108" s="14">
        <f>ROUNDUP(+MIN((15000*8*$J$6*IF('Span Table '!$T$5="Yes",2,1)*144)/(E$107*$B108*$J$103),(($B108/120)*48*144*10000000*$J$4*IF('Span Table '!$T$5="Yes",2,1)*2)/(E$107*$B108^3*$J$103)),0)</f>
        <v>11</v>
      </c>
      <c r="F108" s="14">
        <f>ROUNDUP(+MIN((15000*8*$J$6*IF('Span Table '!$T$5="Yes",2,1)*144)/(F$107*$B108*$J$103),(($B108/120)*48*144*10000000*$J$4*IF('Span Table '!$T$5="Yes",2,1)*2)/(F$107*$B108^3*$J$103)),0)</f>
        <v>10</v>
      </c>
      <c r="G108" s="14">
        <f>ROUNDUP(+MIN((15000*8*$J$6*IF('Span Table '!$T$5="Yes",2,1)*144)/(G$107*$B108*$J$103),(($B108/120)*48*144*10000000*$J$4*IF('Span Table '!$T$5="Yes",2,1)*2)/(G$107*$B108^3*$J$103)),0)</f>
        <v>10</v>
      </c>
      <c r="H108" s="14">
        <f>ROUNDUP(+MIN((15000*8*$J$6*IF('Span Table '!$T$5="Yes",2,1)*144)/(H$107*$B108*$J$103),(($B108/120)*48*144*10000000*$J$4*IF('Span Table '!$T$5="Yes",2,1)*2)/(H$107*$B108^3*$J$103)),0)</f>
        <v>9</v>
      </c>
      <c r="I108" s="14">
        <f>ROUNDUP(+MIN((15000*8*$J$6*IF('Span Table '!$T$5="Yes",2,1)*144)/(I$107*$B108*$J$103),(($B108/120)*48*144*10000000*$J$4*IF('Span Table '!$T$5="Yes",2,1)*2)/(I$107*$B108^3*$J$103)),0)</f>
        <v>9</v>
      </c>
      <c r="J108" s="14">
        <f>ROUNDUP(+MIN((15000*8*$J$6*IF('Span Table '!$T$5="Yes",2,1)*144)/(J$107*$B108*$J$103),(($B108/120)*48*144*10000000*$J$4*IF('Span Table '!$T$5="Yes",2,1)*2)/(J$107*$B108^3*$J$103)),0)</f>
        <v>9</v>
      </c>
      <c r="K108" s="14">
        <f>ROUNDUP(+MIN((15000*8*$J$6*IF('Span Table '!$T$5="Yes",2,1)*144)/(K$107*$B108*$J$103),(($B108/120)*48*144*10000000*$J$4*IF('Span Table '!$T$5="Yes",2,1)*2)/(K$107*$B108^3*$J$103)),0)</f>
        <v>8</v>
      </c>
      <c r="L108" s="24">
        <v>96</v>
      </c>
      <c r="M108" s="37"/>
      <c r="N108" s="282">
        <f>N27</f>
        <v>117.33333333333331</v>
      </c>
      <c r="O108" s="283"/>
      <c r="P108" s="284"/>
      <c r="Q108" s="98">
        <f>MATCH(N108,C107:H107,0)</f>
        <v>1</v>
      </c>
      <c r="R108" s="37"/>
      <c r="S108" s="37"/>
      <c r="T108" s="37"/>
      <c r="U108" s="37"/>
      <c r="V108" s="37"/>
    </row>
    <row r="109" spans="1:22" ht="15.75" customHeight="1" thickBot="1" x14ac:dyDescent="0.3">
      <c r="A109" s="1"/>
      <c r="B109" s="25">
        <f>+B108-6</f>
        <v>294</v>
      </c>
      <c r="C109" s="14">
        <f>ROUNDUP(+MIN((15000*8*$J$6*IF('Span Table '!$T$5="Yes",2,1)*144)/(C$107*$B109*$J$103),(($B109/120)*48*144*10000000*$J$4*IF('Span Table '!$T$5="Yes",2,1)*2)/(C$107*$B109^3*$J$103)),0)</f>
        <v>12</v>
      </c>
      <c r="D109" s="14">
        <f>ROUNDUP(+MIN((15000*8*$J$6*IF('Span Table '!$T$5="Yes",2,1)*144)/(D$107*$B109*$J$103),(($B109/120)*48*144*10000000*$J$4*IF('Span Table '!$T$5="Yes",2,1)*2)/(D$107*$B109^3*$J$103)),0)</f>
        <v>12</v>
      </c>
      <c r="E109" s="14">
        <f>ROUNDUP(+MIN((15000*8*$J$6*IF('Span Table '!$T$5="Yes",2,1)*144)/(E$107*$B109*$J$103),(($B109/120)*48*144*10000000*$J$4*IF('Span Table '!$T$5="Yes",2,1)*2)/(E$107*$B109^3*$J$103)),0)</f>
        <v>11</v>
      </c>
      <c r="F109" s="14">
        <f>ROUNDUP(+MIN((15000*8*$J$6*IF('Span Table '!$T$5="Yes",2,1)*144)/(F$107*$B109*$J$103),(($B109/120)*48*144*10000000*$J$4*IF('Span Table '!$T$5="Yes",2,1)*2)/(F$107*$B109^3*$J$103)),0)</f>
        <v>11</v>
      </c>
      <c r="G109" s="14">
        <f>ROUNDUP(+MIN((15000*8*$J$6*IF('Span Table '!$T$5="Yes",2,1)*144)/(G$107*$B109*$J$103),(($B109/120)*48*144*10000000*$J$4*IF('Span Table '!$T$5="Yes",2,1)*2)/(G$107*$B109^3*$J$103)),0)</f>
        <v>10</v>
      </c>
      <c r="H109" s="14">
        <f>ROUNDUP(+MIN((15000*8*$J$6*IF('Span Table '!$T$5="Yes",2,1)*144)/(H$107*$B109*$J$103),(($B109/120)*48*144*10000000*$J$4*IF('Span Table '!$T$5="Yes",2,1)*2)/(H$107*$B109^3*$J$103)),0)</f>
        <v>10</v>
      </c>
      <c r="I109" s="14">
        <f>ROUNDUP(+MIN((15000*8*$J$6*IF('Span Table '!$T$5="Yes",2,1)*144)/(I$107*$B109*$J$103),(($B109/120)*48*144*10000000*$J$4*IF('Span Table '!$T$5="Yes",2,1)*2)/(I$107*$B109^3*$J$103)),0)</f>
        <v>9</v>
      </c>
      <c r="J109" s="14">
        <f>ROUNDUP(+MIN((15000*8*$J$6*IF('Span Table '!$T$5="Yes",2,1)*144)/(J$107*$B109*$J$103),(($B109/120)*48*144*10000000*$J$4*IF('Span Table '!$T$5="Yes",2,1)*2)/(J$107*$B109^3*$J$103)),0)</f>
        <v>9</v>
      </c>
      <c r="K109" s="14">
        <f>ROUNDUP(+MIN((15000*8*$J$6*IF('Span Table '!$T$5="Yes",2,1)*144)/(K$107*$B109*$J$103),(($B109/120)*48*144*10000000*$J$4*IF('Span Table '!$T$5="Yes",2,1)*2)/(K$107*$B109^3*$J$103)),0)</f>
        <v>9</v>
      </c>
      <c r="L109" s="25">
        <f t="shared" ref="L109:L142" si="15">+L108+6</f>
        <v>102</v>
      </c>
      <c r="M109" s="37"/>
      <c r="N109" s="285" t="s">
        <v>173</v>
      </c>
      <c r="O109" s="286"/>
      <c r="P109" s="287"/>
      <c r="Q109" s="96"/>
      <c r="R109" s="37"/>
      <c r="S109" s="37"/>
      <c r="T109" s="37"/>
      <c r="U109" s="37"/>
      <c r="V109" s="37"/>
    </row>
    <row r="110" spans="1:22" ht="15.75" customHeight="1" thickBot="1" x14ac:dyDescent="0.3">
      <c r="A110" s="1"/>
      <c r="B110" s="25">
        <f>+B109-6</f>
        <v>288</v>
      </c>
      <c r="C110" s="14">
        <f>ROUNDUP(+MIN((15000*8*$J$6*IF('Span Table '!$T$5="Yes",2,1)*144)/(C$107*$B110*$J$103),(($B110/120)*48*144*10000000*$J$4*IF('Span Table '!$T$5="Yes",2,1)*2)/(C$107*$B110^3*$J$103)),0)</f>
        <v>13</v>
      </c>
      <c r="D110" s="14">
        <f>ROUNDUP(+MIN((15000*8*$J$6*IF('Span Table '!$T$5="Yes",2,1)*144)/(D$107*$B110*$J$103),(($B110/120)*48*144*10000000*$J$4*IF('Span Table '!$T$5="Yes",2,1)*2)/(D$107*$B110^3*$J$103)),0)</f>
        <v>12</v>
      </c>
      <c r="E110" s="14">
        <f>ROUNDUP(+MIN((15000*8*$J$6*IF('Span Table '!$T$5="Yes",2,1)*144)/(E$107*$B110*$J$103),(($B110/120)*48*144*10000000*$J$4*IF('Span Table '!$T$5="Yes",2,1)*2)/(E$107*$B110^3*$J$103)),0)</f>
        <v>12</v>
      </c>
      <c r="F110" s="14">
        <f>ROUNDUP(+MIN((15000*8*$J$6*IF('Span Table '!$T$5="Yes",2,1)*144)/(F$107*$B110*$J$103),(($B110/120)*48*144*10000000*$J$4*IF('Span Table '!$T$5="Yes",2,1)*2)/(F$107*$B110^3*$J$103)),0)</f>
        <v>11</v>
      </c>
      <c r="G110" s="14">
        <f>ROUNDUP(+MIN((15000*8*$J$6*IF('Span Table '!$T$5="Yes",2,1)*144)/(G$107*$B110*$J$103),(($B110/120)*48*144*10000000*$J$4*IF('Span Table '!$T$5="Yes",2,1)*2)/(G$107*$B110^3*$J$103)),0)</f>
        <v>11</v>
      </c>
      <c r="H110" s="14">
        <f>ROUNDUP(+MIN((15000*8*$J$6*IF('Span Table '!$T$5="Yes",2,1)*144)/(H$107*$B110*$J$103),(($B110/120)*48*144*10000000*$J$4*IF('Span Table '!$T$5="Yes",2,1)*2)/(H$107*$B110^3*$J$103)),0)</f>
        <v>10</v>
      </c>
      <c r="I110" s="14">
        <f>ROUNDUP(+MIN((15000*8*$J$6*IF('Span Table '!$T$5="Yes",2,1)*144)/(I$107*$B110*$J$103),(($B110/120)*48*144*10000000*$J$4*IF('Span Table '!$T$5="Yes",2,1)*2)/(I$107*$B110^3*$J$103)),0)</f>
        <v>10</v>
      </c>
      <c r="J110" s="14">
        <f>ROUNDUP(+MIN((15000*8*$J$6*IF('Span Table '!$T$5="Yes",2,1)*144)/(J$107*$B110*$J$103),(($B110/120)*48*144*10000000*$J$4*IF('Span Table '!$T$5="Yes",2,1)*2)/(J$107*$B110^3*$J$103)),0)</f>
        <v>9</v>
      </c>
      <c r="K110" s="14">
        <f>ROUNDUP(+MIN((15000*8*$J$6*IF('Span Table '!$T$5="Yes",2,1)*144)/(K$107*$B110*$J$103),(($B110/120)*48*144*10000000*$J$4*IF('Span Table '!$T$5="Yes",2,1)*2)/(K$107*$B110^3*$J$103)),0)</f>
        <v>9</v>
      </c>
      <c r="L110" s="25">
        <f t="shared" si="15"/>
        <v>108</v>
      </c>
      <c r="M110" s="37"/>
      <c r="N110" s="279">
        <f>ROUNDUP(('Design Loads'!Q57),0)</f>
        <v>22</v>
      </c>
      <c r="O110" s="280"/>
      <c r="P110" s="281"/>
      <c r="Q110" s="97">
        <f>MATCH(N110,C108:C142,1)</f>
        <v>22</v>
      </c>
      <c r="R110" s="37"/>
      <c r="S110" s="37"/>
      <c r="T110" s="37"/>
      <c r="U110" s="37"/>
      <c r="V110" s="37"/>
    </row>
    <row r="111" spans="1:22" ht="15.75" customHeight="1" thickBot="1" x14ac:dyDescent="0.3">
      <c r="A111" s="1"/>
      <c r="B111" s="25">
        <f t="shared" ref="B111:B142" si="16">+B110-6</f>
        <v>282</v>
      </c>
      <c r="C111" s="14">
        <f>ROUNDUP(+MIN((15000*8*$J$6*IF('Span Table '!$T$5="Yes",2,1)*144)/(C$107*$B111*$J$103),(($B111/120)*48*144*10000000*$J$4*IF('Span Table '!$T$5="Yes",2,1)*2)/(C$107*$B111^3*$J$103)),0)</f>
        <v>13</v>
      </c>
      <c r="D111" s="14">
        <f>ROUNDUP(+MIN((15000*8*$J$6*IF('Span Table '!$T$5="Yes",2,1)*144)/(D$107*$B111*$J$103),(($B111/120)*48*144*10000000*$J$4*IF('Span Table '!$T$5="Yes",2,1)*2)/(D$107*$B111^3*$J$103)),0)</f>
        <v>13</v>
      </c>
      <c r="E111" s="14">
        <f>ROUNDUP(+MIN((15000*8*$J$6*IF('Span Table '!$T$5="Yes",2,1)*144)/(E$107*$B111*$J$103),(($B111/120)*48*144*10000000*$J$4*IF('Span Table '!$T$5="Yes",2,1)*2)/(E$107*$B111^3*$J$103)),0)</f>
        <v>12</v>
      </c>
      <c r="F111" s="14">
        <f>ROUNDUP(+MIN((15000*8*$J$6*IF('Span Table '!$T$5="Yes",2,1)*144)/(F$107*$B111*$J$103),(($B111/120)*48*144*10000000*$J$4*IF('Span Table '!$T$5="Yes",2,1)*2)/(F$107*$B111^3*$J$103)),0)</f>
        <v>11</v>
      </c>
      <c r="G111" s="14">
        <f>ROUNDUP(+MIN((15000*8*$J$6*IF('Span Table '!$T$5="Yes",2,1)*144)/(G$107*$B111*$J$103),(($B111/120)*48*144*10000000*$J$4*IF('Span Table '!$T$5="Yes",2,1)*2)/(G$107*$B111^3*$J$103)),0)</f>
        <v>11</v>
      </c>
      <c r="H111" s="14">
        <f>ROUNDUP(+MIN((15000*8*$J$6*IF('Span Table '!$T$5="Yes",2,1)*144)/(H$107*$B111*$J$103),(($B111/120)*48*144*10000000*$J$4*IF('Span Table '!$T$5="Yes",2,1)*2)/(H$107*$B111^3*$J$103)),0)</f>
        <v>11</v>
      </c>
      <c r="I111" s="14">
        <f>ROUNDUP(+MIN((15000*8*$J$6*IF('Span Table '!$T$5="Yes",2,1)*144)/(I$107*$B111*$J$103),(($B111/120)*48*144*10000000*$J$4*IF('Span Table '!$T$5="Yes",2,1)*2)/(I$107*$B111^3*$J$103)),0)</f>
        <v>10</v>
      </c>
      <c r="J111" s="14">
        <f>ROUNDUP(+MIN((15000*8*$J$6*IF('Span Table '!$T$5="Yes",2,1)*144)/(J$107*$B111*$J$103),(($B111/120)*48*144*10000000*$J$4*IF('Span Table '!$T$5="Yes",2,1)*2)/(J$107*$B111^3*$J$103)),0)</f>
        <v>10</v>
      </c>
      <c r="K111" s="14">
        <f>ROUNDUP(+MIN((15000*8*$J$6*IF('Span Table '!$T$5="Yes",2,1)*144)/(K$107*$B111*$J$103),(($B111/120)*48*144*10000000*$J$4*IF('Span Table '!$T$5="Yes",2,1)*2)/(K$107*$B111^3*$J$103)),0)</f>
        <v>9</v>
      </c>
      <c r="L111" s="25">
        <f t="shared" si="15"/>
        <v>114</v>
      </c>
      <c r="M111" s="37"/>
      <c r="N111" s="269" t="s">
        <v>174</v>
      </c>
      <c r="O111" s="270"/>
      <c r="P111" s="271"/>
      <c r="Q111" s="125"/>
      <c r="R111" s="101"/>
      <c r="S111" s="37"/>
      <c r="T111" s="37"/>
      <c r="U111" s="37"/>
      <c r="V111" s="37"/>
    </row>
    <row r="112" spans="1:22" ht="15.75" customHeight="1" thickBot="1" x14ac:dyDescent="0.3">
      <c r="A112" s="1"/>
      <c r="B112" s="25">
        <f t="shared" si="16"/>
        <v>276</v>
      </c>
      <c r="C112" s="14">
        <f>ROUNDUP(+MIN((15000*8*$J$6*IF('Span Table '!$T$5="Yes",2,1)*144)/(C$107*$B112*$J$103),(($B112/120)*48*144*10000000*$J$4*IF('Span Table '!$T$5="Yes",2,1)*2)/(C$107*$B112^3*$J$103)),0)</f>
        <v>14</v>
      </c>
      <c r="D112" s="14">
        <f>ROUNDUP(+MIN((15000*8*$J$6*IF('Span Table '!$T$5="Yes",2,1)*144)/(D$107*$B112*$J$103),(($B112/120)*48*144*10000000*$J$4*IF('Span Table '!$T$5="Yes",2,1)*2)/(D$107*$B112^3*$J$103)),0)</f>
        <v>13</v>
      </c>
      <c r="E112" s="14">
        <f>ROUNDUP(+MIN((15000*8*$J$6*IF('Span Table '!$T$5="Yes",2,1)*144)/(E$107*$B112*$J$103),(($B112/120)*48*144*10000000*$J$4*IF('Span Table '!$T$5="Yes",2,1)*2)/(E$107*$B112^3*$J$103)),0)</f>
        <v>13</v>
      </c>
      <c r="F112" s="14">
        <f>ROUNDUP(+MIN((15000*8*$J$6*IF('Span Table '!$T$5="Yes",2,1)*144)/(F$107*$B112*$J$103),(($B112/120)*48*144*10000000*$J$4*IF('Span Table '!$T$5="Yes",2,1)*2)/(F$107*$B112^3*$J$103)),0)</f>
        <v>12</v>
      </c>
      <c r="G112" s="14">
        <f>ROUNDUP(+MIN((15000*8*$J$6*IF('Span Table '!$T$5="Yes",2,1)*144)/(G$107*$B112*$J$103),(($B112/120)*48*144*10000000*$J$4*IF('Span Table '!$T$5="Yes",2,1)*2)/(G$107*$B112^3*$J$103)),0)</f>
        <v>11</v>
      </c>
      <c r="H112" s="14">
        <f>ROUNDUP(+MIN((15000*8*$J$6*IF('Span Table '!$T$5="Yes",2,1)*144)/(H$107*$B112*$J$103),(($B112/120)*48*144*10000000*$J$4*IF('Span Table '!$T$5="Yes",2,1)*2)/(H$107*$B112^3*$J$103)),0)</f>
        <v>11</v>
      </c>
      <c r="I112" s="14">
        <f>ROUNDUP(+MIN((15000*8*$J$6*IF('Span Table '!$T$5="Yes",2,1)*144)/(I$107*$B112*$J$103),(($B112/120)*48*144*10000000*$J$4*IF('Span Table '!$T$5="Yes",2,1)*2)/(I$107*$B112^3*$J$103)),0)</f>
        <v>11</v>
      </c>
      <c r="J112" s="14">
        <f>ROUNDUP(+MIN((15000*8*$J$6*IF('Span Table '!$T$5="Yes",2,1)*144)/(J$107*$B112*$J$103),(($B112/120)*48*144*10000000*$J$4*IF('Span Table '!$T$5="Yes",2,1)*2)/(J$107*$B112^3*$J$103)),0)</f>
        <v>10</v>
      </c>
      <c r="K112" s="14">
        <f>ROUNDUP(+MIN((15000*8*$J$6*IF('Span Table '!$T$5="Yes",2,1)*144)/(K$107*$B112*$J$103),(($B112/120)*48*144*10000000*$J$4*IF('Span Table '!$T$5="Yes",2,1)*2)/(K$107*$B112^3*$J$103)),0)</f>
        <v>10</v>
      </c>
      <c r="L112" s="25">
        <f t="shared" si="15"/>
        <v>120</v>
      </c>
      <c r="M112" s="37"/>
      <c r="N112" s="272">
        <f>IF(N110&lt;C108,B108,INDEX(B108:B142,MATCH(N110,C108:C142,1),1))</f>
        <v>174</v>
      </c>
      <c r="O112" s="273"/>
      <c r="P112" s="274"/>
      <c r="R112" s="37"/>
      <c r="S112" s="37"/>
      <c r="T112" s="37"/>
      <c r="U112" s="37"/>
      <c r="V112" s="37"/>
    </row>
    <row r="113" spans="1:22" ht="15.75" customHeight="1" thickBot="1" x14ac:dyDescent="0.3">
      <c r="A113" s="1"/>
      <c r="B113" s="25">
        <f t="shared" si="16"/>
        <v>270</v>
      </c>
      <c r="C113" s="14">
        <f>ROUNDUP(+MIN((15000*8*$J$6*IF('Span Table '!$T$5="Yes",2,1)*144)/(C$107*$B113*$J$103),(($B113/120)*48*144*10000000*$J$4*IF('Span Table '!$T$5="Yes",2,1)*2)/(C$107*$B113^3*$J$103)),0)</f>
        <v>14</v>
      </c>
      <c r="D113" s="14">
        <f>ROUNDUP(+MIN((15000*8*$J$6*IF('Span Table '!$T$5="Yes",2,1)*144)/(D$107*$B113*$J$103),(($B113/120)*48*144*10000000*$J$4*IF('Span Table '!$T$5="Yes",2,1)*2)/(D$107*$B113^3*$J$103)),0)</f>
        <v>14</v>
      </c>
      <c r="E113" s="14">
        <f>ROUNDUP(+MIN((15000*8*$J$6*IF('Span Table '!$T$5="Yes",2,1)*144)/(E$107*$B113*$J$103),(($B113/120)*48*144*10000000*$J$4*IF('Span Table '!$T$5="Yes",2,1)*2)/(E$107*$B113^3*$J$103)),0)</f>
        <v>13</v>
      </c>
      <c r="F113" s="14">
        <f>ROUNDUP(+MIN((15000*8*$J$6*IF('Span Table '!$T$5="Yes",2,1)*144)/(F$107*$B113*$J$103),(($B113/120)*48*144*10000000*$J$4*IF('Span Table '!$T$5="Yes",2,1)*2)/(F$107*$B113^3*$J$103)),0)</f>
        <v>12</v>
      </c>
      <c r="G113" s="14">
        <f>ROUNDUP(+MIN((15000*8*$J$6*IF('Span Table '!$T$5="Yes",2,1)*144)/(G$107*$B113*$J$103),(($B113/120)*48*144*10000000*$J$4*IF('Span Table '!$T$5="Yes",2,1)*2)/(G$107*$B113^3*$J$103)),0)</f>
        <v>12</v>
      </c>
      <c r="H113" s="14">
        <f>ROUNDUP(+MIN((15000*8*$J$6*IF('Span Table '!$T$5="Yes",2,1)*144)/(H$107*$B113*$J$103),(($B113/120)*48*144*10000000*$J$4*IF('Span Table '!$T$5="Yes",2,1)*2)/(H$107*$B113^3*$J$103)),0)</f>
        <v>12</v>
      </c>
      <c r="I113" s="14">
        <f>ROUNDUP(+MIN((15000*8*$J$6*IF('Span Table '!$T$5="Yes",2,1)*144)/(I$107*$B113*$J$103),(($B113/120)*48*144*10000000*$J$4*IF('Span Table '!$T$5="Yes",2,1)*2)/(I$107*$B113^3*$J$103)),0)</f>
        <v>11</v>
      </c>
      <c r="J113" s="14">
        <f>ROUNDUP(+MIN((15000*8*$J$6*IF('Span Table '!$T$5="Yes",2,1)*144)/(J$107*$B113*$J$103),(($B113/120)*48*144*10000000*$J$4*IF('Span Table '!$T$5="Yes",2,1)*2)/(J$107*$B113^3*$J$103)),0)</f>
        <v>11</v>
      </c>
      <c r="K113" s="14">
        <f>ROUNDUP(+MIN((15000*8*$J$6*IF('Span Table '!$T$5="Yes",2,1)*144)/(K$107*$B113*$J$103),(($B113/120)*48*144*10000000*$J$4*IF('Span Table '!$T$5="Yes",2,1)*2)/(K$107*$B113^3*$J$103)),0)</f>
        <v>10</v>
      </c>
      <c r="L113" s="25">
        <f t="shared" si="15"/>
        <v>126</v>
      </c>
      <c r="M113" s="37"/>
      <c r="N113" s="275"/>
      <c r="O113" s="275"/>
      <c r="P113" s="275"/>
      <c r="Q113" s="120"/>
      <c r="R113" s="37"/>
      <c r="S113" s="37"/>
      <c r="T113" s="37"/>
      <c r="U113" s="37"/>
      <c r="V113" s="37"/>
    </row>
    <row r="114" spans="1:22" ht="15.75" customHeight="1" thickBot="1" x14ac:dyDescent="0.3">
      <c r="A114" s="1"/>
      <c r="B114" s="25">
        <f t="shared" si="16"/>
        <v>264</v>
      </c>
      <c r="C114" s="14">
        <f>ROUNDUP(+MIN((15000*8*$J$6*IF('Span Table '!$T$5="Yes",2,1)*144)/(C$107*$B114*$J$103),(($B114/120)*48*144*10000000*$J$4*IF('Span Table '!$T$5="Yes",2,1)*2)/(C$107*$B114^3*$J$103)),0)</f>
        <v>15</v>
      </c>
      <c r="D114" s="14">
        <f>ROUNDUP(+MIN((15000*8*$J$6*IF('Span Table '!$T$5="Yes",2,1)*144)/(D$107*$B114*$J$103),(($B114/120)*48*144*10000000*$J$4*IF('Span Table '!$T$5="Yes",2,1)*2)/(D$107*$B114^3*$J$103)),0)</f>
        <v>14</v>
      </c>
      <c r="E114" s="14">
        <f>ROUNDUP(+MIN((15000*8*$J$6*IF('Span Table '!$T$5="Yes",2,1)*144)/(E$107*$B114*$J$103),(($B114/120)*48*144*10000000*$J$4*IF('Span Table '!$T$5="Yes",2,1)*2)/(E$107*$B114^3*$J$103)),0)</f>
        <v>13</v>
      </c>
      <c r="F114" s="14">
        <f>ROUNDUP(+MIN((15000*8*$J$6*IF('Span Table '!$T$5="Yes",2,1)*144)/(F$107*$B114*$J$103),(($B114/120)*48*144*10000000*$J$4*IF('Span Table '!$T$5="Yes",2,1)*2)/(F$107*$B114^3*$J$103)),0)</f>
        <v>13</v>
      </c>
      <c r="G114" s="14">
        <f>ROUNDUP(+MIN((15000*8*$J$6*IF('Span Table '!$T$5="Yes",2,1)*144)/(G$107*$B114*$J$103),(($B114/120)*48*144*10000000*$J$4*IF('Span Table '!$T$5="Yes",2,1)*2)/(G$107*$B114^3*$J$103)),0)</f>
        <v>12</v>
      </c>
      <c r="H114" s="14">
        <f>ROUNDUP(+MIN((15000*8*$J$6*IF('Span Table '!$T$5="Yes",2,1)*144)/(H$107*$B114*$J$103),(($B114/120)*48*144*10000000*$J$4*IF('Span Table '!$T$5="Yes",2,1)*2)/(H$107*$B114^3*$J$103)),0)</f>
        <v>12</v>
      </c>
      <c r="I114" s="14">
        <f>ROUNDUP(+MIN((15000*8*$J$6*IF('Span Table '!$T$5="Yes",2,1)*144)/(I$107*$B114*$J$103),(($B114/120)*48*144*10000000*$J$4*IF('Span Table '!$T$5="Yes",2,1)*2)/(I$107*$B114^3*$J$103)),0)</f>
        <v>11</v>
      </c>
      <c r="J114" s="14">
        <f>ROUNDUP(+MIN((15000*8*$J$6*IF('Span Table '!$T$5="Yes",2,1)*144)/(J$107*$B114*$J$103),(($B114/120)*48*144*10000000*$J$4*IF('Span Table '!$T$5="Yes",2,1)*2)/(J$107*$B114^3*$J$103)),0)</f>
        <v>11</v>
      </c>
      <c r="K114" s="14">
        <f>ROUNDUP(+MIN((15000*8*$J$6*IF('Span Table '!$T$5="Yes",2,1)*144)/(K$107*$B114*$J$103),(($B114/120)*48*144*10000000*$J$4*IF('Span Table '!$T$5="Yes",2,1)*2)/(K$107*$B114^3*$J$103)),0)</f>
        <v>11</v>
      </c>
      <c r="L114" s="25">
        <f t="shared" si="15"/>
        <v>132</v>
      </c>
      <c r="M114" s="37"/>
      <c r="N114" s="268"/>
      <c r="O114" s="268"/>
      <c r="P114" s="268"/>
      <c r="Q114" s="120"/>
      <c r="R114" s="37"/>
      <c r="S114" s="37"/>
      <c r="T114" s="37"/>
      <c r="U114" s="37"/>
      <c r="V114" s="37"/>
    </row>
    <row r="115" spans="1:22" ht="15.75" customHeight="1" thickBot="1" x14ac:dyDescent="0.3">
      <c r="A115" s="1"/>
      <c r="B115" s="25">
        <f t="shared" si="16"/>
        <v>258</v>
      </c>
      <c r="C115" s="14">
        <f>ROUNDUP(+MIN((15000*8*$J$6*IF('Span Table '!$T$5="Yes",2,1)*144)/(C$107*$B115*$J$103),(($B115/120)*48*144*10000000*$J$4*IF('Span Table '!$T$5="Yes",2,1)*2)/(C$107*$B115^3*$J$103)),0)</f>
        <v>15</v>
      </c>
      <c r="D115" s="14">
        <f>ROUNDUP(+MIN((15000*8*$J$6*IF('Span Table '!$T$5="Yes",2,1)*144)/(D$107*$B115*$J$103),(($B115/120)*48*144*10000000*$J$4*IF('Span Table '!$T$5="Yes",2,1)*2)/(D$107*$B115^3*$J$103)),0)</f>
        <v>14</v>
      </c>
      <c r="E115" s="14">
        <f>ROUNDUP(+MIN((15000*8*$J$6*IF('Span Table '!$T$5="Yes",2,1)*144)/(E$107*$B115*$J$103),(($B115/120)*48*144*10000000*$J$4*IF('Span Table '!$T$5="Yes",2,1)*2)/(E$107*$B115^3*$J$103)),0)</f>
        <v>14</v>
      </c>
      <c r="F115" s="14">
        <f>ROUNDUP(+MIN((15000*8*$J$6*IF('Span Table '!$T$5="Yes",2,1)*144)/(F$107*$B115*$J$103),(($B115/120)*48*144*10000000*$J$4*IF('Span Table '!$T$5="Yes",2,1)*2)/(F$107*$B115^3*$J$103)),0)</f>
        <v>13</v>
      </c>
      <c r="G115" s="14">
        <f>ROUNDUP(+MIN((15000*8*$J$6*IF('Span Table '!$T$5="Yes",2,1)*144)/(G$107*$B115*$J$103),(($B115/120)*48*144*10000000*$J$4*IF('Span Table '!$T$5="Yes",2,1)*2)/(G$107*$B115^3*$J$103)),0)</f>
        <v>13</v>
      </c>
      <c r="H115" s="14">
        <f>ROUNDUP(+MIN((15000*8*$J$6*IF('Span Table '!$T$5="Yes",2,1)*144)/(H$107*$B115*$J$103),(($B115/120)*48*144*10000000*$J$4*IF('Span Table '!$T$5="Yes",2,1)*2)/(H$107*$B115^3*$J$103)),0)</f>
        <v>12</v>
      </c>
      <c r="I115" s="14">
        <f>ROUNDUP(+MIN((15000*8*$J$6*IF('Span Table '!$T$5="Yes",2,1)*144)/(I$107*$B115*$J$103),(($B115/120)*48*144*10000000*$J$4*IF('Span Table '!$T$5="Yes",2,1)*2)/(I$107*$B115^3*$J$103)),0)</f>
        <v>12</v>
      </c>
      <c r="J115" s="14">
        <f>ROUNDUP(+MIN((15000*8*$J$6*IF('Span Table '!$T$5="Yes",2,1)*144)/(J$107*$B115*$J$103),(($B115/120)*48*144*10000000*$J$4*IF('Span Table '!$T$5="Yes",2,1)*2)/(J$107*$B115^3*$J$103)),0)</f>
        <v>11</v>
      </c>
      <c r="K115" s="14">
        <f>ROUNDUP(+MIN((15000*8*$J$6*IF('Span Table '!$T$5="Yes",2,1)*144)/(K$107*$B115*$J$103),(($B115/120)*48*144*10000000*$J$4*IF('Span Table '!$T$5="Yes",2,1)*2)/(K$107*$B115^3*$J$103)),0)</f>
        <v>11</v>
      </c>
      <c r="L115" s="25">
        <f t="shared" si="15"/>
        <v>138</v>
      </c>
      <c r="M115" s="37"/>
      <c r="N115" s="37"/>
      <c r="O115" s="37"/>
      <c r="P115" s="37"/>
      <c r="Q115" s="37"/>
      <c r="R115" s="37"/>
      <c r="S115" s="37"/>
      <c r="T115" s="37"/>
      <c r="U115" s="37"/>
      <c r="V115" s="37"/>
    </row>
    <row r="116" spans="1:22" ht="15.75" customHeight="1" thickBot="1" x14ac:dyDescent="0.3">
      <c r="A116" s="1"/>
      <c r="B116" s="25">
        <f t="shared" si="16"/>
        <v>252</v>
      </c>
      <c r="C116" s="14">
        <f>ROUNDUP(+MIN((15000*8*$J$6*IF('Span Table '!$T$5="Yes",2,1)*144)/(C$107*$B116*$J$103),(($B116/120)*48*144*10000000*$J$4*IF('Span Table '!$T$5="Yes",2,1)*2)/(C$107*$B116^3*$J$103)),0)</f>
        <v>15</v>
      </c>
      <c r="D116" s="14">
        <f>ROUNDUP(+MIN((15000*8*$J$6*IF('Span Table '!$T$5="Yes",2,1)*144)/(D$107*$B116*$J$103),(($B116/120)*48*144*10000000*$J$4*IF('Span Table '!$T$5="Yes",2,1)*2)/(D$107*$B116^3*$J$103)),0)</f>
        <v>15</v>
      </c>
      <c r="E116" s="14">
        <f>ROUNDUP(+MIN((15000*8*$J$6*IF('Span Table '!$T$5="Yes",2,1)*144)/(E$107*$B116*$J$103),(($B116/120)*48*144*10000000*$J$4*IF('Span Table '!$T$5="Yes",2,1)*2)/(E$107*$B116^3*$J$103)),0)</f>
        <v>14</v>
      </c>
      <c r="F116" s="14">
        <f>ROUNDUP(+MIN((15000*8*$J$6*IF('Span Table '!$T$5="Yes",2,1)*144)/(F$107*$B116*$J$103),(($B116/120)*48*144*10000000*$J$4*IF('Span Table '!$T$5="Yes",2,1)*2)/(F$107*$B116^3*$J$103)),0)</f>
        <v>14</v>
      </c>
      <c r="G116" s="14">
        <f>ROUNDUP(+MIN((15000*8*$J$6*IF('Span Table '!$T$5="Yes",2,1)*144)/(G$107*$B116*$J$103),(($B116/120)*48*144*10000000*$J$4*IF('Span Table '!$T$5="Yes",2,1)*2)/(G$107*$B116^3*$J$103)),0)</f>
        <v>13</v>
      </c>
      <c r="H116" s="14">
        <f>ROUNDUP(+MIN((15000*8*$J$6*IF('Span Table '!$T$5="Yes",2,1)*144)/(H$107*$B116*$J$103),(($B116/120)*48*144*10000000*$J$4*IF('Span Table '!$T$5="Yes",2,1)*2)/(H$107*$B116^3*$J$103)),0)</f>
        <v>12</v>
      </c>
      <c r="I116" s="14">
        <f>ROUNDUP(+MIN((15000*8*$J$6*IF('Span Table '!$T$5="Yes",2,1)*144)/(I$107*$B116*$J$103),(($B116/120)*48*144*10000000*$J$4*IF('Span Table '!$T$5="Yes",2,1)*2)/(I$107*$B116^3*$J$103)),0)</f>
        <v>12</v>
      </c>
      <c r="J116" s="14">
        <f>ROUNDUP(+MIN((15000*8*$J$6*IF('Span Table '!$T$5="Yes",2,1)*144)/(J$107*$B116*$J$103),(($B116/120)*48*144*10000000*$J$4*IF('Span Table '!$T$5="Yes",2,1)*2)/(J$107*$B116^3*$J$103)),0)</f>
        <v>12</v>
      </c>
      <c r="K116" s="14">
        <f>ROUNDUP(+MIN((15000*8*$J$6*IF('Span Table '!$T$5="Yes",2,1)*144)/(K$107*$B116*$J$103),(($B116/120)*48*144*10000000*$J$4*IF('Span Table '!$T$5="Yes",2,1)*2)/(K$107*$B116^3*$J$103)),0)</f>
        <v>11</v>
      </c>
      <c r="L116" s="25">
        <f t="shared" si="15"/>
        <v>144</v>
      </c>
      <c r="M116" s="37"/>
      <c r="N116" s="37"/>
      <c r="O116" s="37"/>
      <c r="P116" s="37"/>
      <c r="Q116" s="37"/>
      <c r="R116" s="37"/>
      <c r="S116" s="37"/>
      <c r="T116" s="37"/>
      <c r="U116" s="37"/>
      <c r="V116" s="37"/>
    </row>
    <row r="117" spans="1:22" ht="15.75" customHeight="1" thickBot="1" x14ac:dyDescent="0.3">
      <c r="A117" s="1"/>
      <c r="B117" s="25">
        <f t="shared" si="16"/>
        <v>246</v>
      </c>
      <c r="C117" s="14">
        <f>ROUNDUP(+MIN((15000*8*$J$6*IF('Span Table '!$T$5="Yes",2,1)*144)/(C$107*$B117*$J$103),(($B117/120)*48*144*10000000*$J$4*IF('Span Table '!$T$5="Yes",2,1)*2)/(C$107*$B117^3*$J$103)),0)</f>
        <v>16</v>
      </c>
      <c r="D117" s="14">
        <f>ROUNDUP(+MIN((15000*8*$J$6*IF('Span Table '!$T$5="Yes",2,1)*144)/(D$107*$B117*$J$103),(($B117/120)*48*144*10000000*$J$4*IF('Span Table '!$T$5="Yes",2,1)*2)/(D$107*$B117^3*$J$103)),0)</f>
        <v>15</v>
      </c>
      <c r="E117" s="14">
        <f>ROUNDUP(+MIN((15000*8*$J$6*IF('Span Table '!$T$5="Yes",2,1)*144)/(E$107*$B117*$J$103),(($B117/120)*48*144*10000000*$J$4*IF('Span Table '!$T$5="Yes",2,1)*2)/(E$107*$B117^3*$J$103)),0)</f>
        <v>14</v>
      </c>
      <c r="F117" s="14">
        <f>ROUNDUP(+MIN((15000*8*$J$6*IF('Span Table '!$T$5="Yes",2,1)*144)/(F$107*$B117*$J$103),(($B117/120)*48*144*10000000*$J$4*IF('Span Table '!$T$5="Yes",2,1)*2)/(F$107*$B117^3*$J$103)),0)</f>
        <v>14</v>
      </c>
      <c r="G117" s="14">
        <f>ROUNDUP(+MIN((15000*8*$J$6*IF('Span Table '!$T$5="Yes",2,1)*144)/(G$107*$B117*$J$103),(($B117/120)*48*144*10000000*$J$4*IF('Span Table '!$T$5="Yes",2,1)*2)/(G$107*$B117^3*$J$103)),0)</f>
        <v>13</v>
      </c>
      <c r="H117" s="14">
        <f>ROUNDUP(+MIN((15000*8*$J$6*IF('Span Table '!$T$5="Yes",2,1)*144)/(H$107*$B117*$J$103),(($B117/120)*48*144*10000000*$J$4*IF('Span Table '!$T$5="Yes",2,1)*2)/(H$107*$B117^3*$J$103)),0)</f>
        <v>13</v>
      </c>
      <c r="I117" s="14">
        <f>ROUNDUP(+MIN((15000*8*$J$6*IF('Span Table '!$T$5="Yes",2,1)*144)/(I$107*$B117*$J$103),(($B117/120)*48*144*10000000*$J$4*IF('Span Table '!$T$5="Yes",2,1)*2)/(I$107*$B117^3*$J$103)),0)</f>
        <v>12</v>
      </c>
      <c r="J117" s="14">
        <f>ROUNDUP(+MIN((15000*8*$J$6*IF('Span Table '!$T$5="Yes",2,1)*144)/(J$107*$B117*$J$103),(($B117/120)*48*144*10000000*$J$4*IF('Span Table '!$T$5="Yes",2,1)*2)/(J$107*$B117^3*$J$103)),0)</f>
        <v>12</v>
      </c>
      <c r="K117" s="14">
        <f>ROUNDUP(+MIN((15000*8*$J$6*IF('Span Table '!$T$5="Yes",2,1)*144)/(K$107*$B117*$J$103),(($B117/120)*48*144*10000000*$J$4*IF('Span Table '!$T$5="Yes",2,1)*2)/(K$107*$B117^3*$J$103)),0)</f>
        <v>11</v>
      </c>
      <c r="L117" s="25">
        <f t="shared" si="15"/>
        <v>150</v>
      </c>
      <c r="M117" s="37"/>
      <c r="N117" s="37"/>
      <c r="O117" s="37"/>
      <c r="P117" s="37"/>
      <c r="Q117" s="37"/>
      <c r="R117" s="37"/>
      <c r="S117" s="37"/>
      <c r="T117" s="37"/>
      <c r="U117" s="37"/>
      <c r="V117" s="37"/>
    </row>
    <row r="118" spans="1:22" ht="15.75" customHeight="1" thickBot="1" x14ac:dyDescent="0.3">
      <c r="A118" s="1"/>
      <c r="B118" s="25">
        <f t="shared" si="16"/>
        <v>240</v>
      </c>
      <c r="C118" s="14">
        <f>ROUNDUP(+MIN((15000*8*$J$6*IF('Span Table '!$T$5="Yes",2,1)*144)/(C$107*$B118*$J$103),(($B118/120)*48*144*10000000*$J$4*IF('Span Table '!$T$5="Yes",2,1)*2)/(C$107*$B118^3*$J$103)),0)</f>
        <v>16</v>
      </c>
      <c r="D118" s="14">
        <f>ROUNDUP(+MIN((15000*8*$J$6*IF('Span Table '!$T$5="Yes",2,1)*144)/(D$107*$B118*$J$103),(($B118/120)*48*144*10000000*$J$4*IF('Span Table '!$T$5="Yes",2,1)*2)/(D$107*$B118^3*$J$103)),0)</f>
        <v>15</v>
      </c>
      <c r="E118" s="14">
        <f>ROUNDUP(+MIN((15000*8*$J$6*IF('Span Table '!$T$5="Yes",2,1)*144)/(E$107*$B118*$J$103),(($B118/120)*48*144*10000000*$J$4*IF('Span Table '!$T$5="Yes",2,1)*2)/(E$107*$B118^3*$J$103)),0)</f>
        <v>15</v>
      </c>
      <c r="F118" s="14">
        <f>ROUNDUP(+MIN((15000*8*$J$6*IF('Span Table '!$T$5="Yes",2,1)*144)/(F$107*$B118*$J$103),(($B118/120)*48*144*10000000*$J$4*IF('Span Table '!$T$5="Yes",2,1)*2)/(F$107*$B118^3*$J$103)),0)</f>
        <v>14</v>
      </c>
      <c r="G118" s="14">
        <f>ROUNDUP(+MIN((15000*8*$J$6*IF('Span Table '!$T$5="Yes",2,1)*144)/(G$107*$B118*$J$103),(($B118/120)*48*144*10000000*$J$4*IF('Span Table '!$T$5="Yes",2,1)*2)/(G$107*$B118^3*$J$103)),0)</f>
        <v>14</v>
      </c>
      <c r="H118" s="14">
        <f>ROUNDUP(+MIN((15000*8*$J$6*IF('Span Table '!$T$5="Yes",2,1)*144)/(H$107*$B118*$J$103),(($B118/120)*48*144*10000000*$J$4*IF('Span Table '!$T$5="Yes",2,1)*2)/(H$107*$B118^3*$J$103)),0)</f>
        <v>13</v>
      </c>
      <c r="I118" s="14">
        <f>ROUNDUP(+MIN((15000*8*$J$6*IF('Span Table '!$T$5="Yes",2,1)*144)/(I$107*$B118*$J$103),(($B118/120)*48*144*10000000*$J$4*IF('Span Table '!$T$5="Yes",2,1)*2)/(I$107*$B118^3*$J$103)),0)</f>
        <v>13</v>
      </c>
      <c r="J118" s="14">
        <f>ROUNDUP(+MIN((15000*8*$J$6*IF('Span Table '!$T$5="Yes",2,1)*144)/(J$107*$B118*$J$103),(($B118/120)*48*144*10000000*$J$4*IF('Span Table '!$T$5="Yes",2,1)*2)/(J$107*$B118^3*$J$103)),0)</f>
        <v>12</v>
      </c>
      <c r="K118" s="14">
        <f>ROUNDUP(+MIN((15000*8*$J$6*IF('Span Table '!$T$5="Yes",2,1)*144)/(K$107*$B118*$J$103),(($B118/120)*48*144*10000000*$J$4*IF('Span Table '!$T$5="Yes",2,1)*2)/(K$107*$B118^3*$J$103)),0)</f>
        <v>12</v>
      </c>
      <c r="L118" s="25">
        <f t="shared" si="15"/>
        <v>156</v>
      </c>
      <c r="M118" s="37"/>
      <c r="N118" s="37"/>
      <c r="O118" s="37"/>
      <c r="P118" s="37"/>
      <c r="Q118" s="37"/>
      <c r="R118" s="37"/>
      <c r="S118" s="37"/>
      <c r="T118" s="37"/>
      <c r="U118" s="37"/>
      <c r="V118" s="37"/>
    </row>
    <row r="119" spans="1:22" ht="15.75" customHeight="1" thickBot="1" x14ac:dyDescent="0.3">
      <c r="A119" s="1"/>
      <c r="B119" s="25">
        <f t="shared" si="16"/>
        <v>234</v>
      </c>
      <c r="C119" s="14">
        <f>ROUNDUP(+MIN((15000*8*$J$6*IF('Span Table '!$T$5="Yes",2,1)*144)/(C$107*$B119*$J$103),(($B119/120)*48*144*10000000*$J$4*IF('Span Table '!$T$5="Yes",2,1)*2)/(C$107*$B119^3*$J$103)),0)</f>
        <v>17</v>
      </c>
      <c r="D119" s="14">
        <f>ROUNDUP(+MIN((15000*8*$J$6*IF('Span Table '!$T$5="Yes",2,1)*144)/(D$107*$B119*$J$103),(($B119/120)*48*144*10000000*$J$4*IF('Span Table '!$T$5="Yes",2,1)*2)/(D$107*$B119^3*$J$103)),0)</f>
        <v>16</v>
      </c>
      <c r="E119" s="14">
        <f>ROUNDUP(+MIN((15000*8*$J$6*IF('Span Table '!$T$5="Yes",2,1)*144)/(E$107*$B119*$J$103),(($B119/120)*48*144*10000000*$J$4*IF('Span Table '!$T$5="Yes",2,1)*2)/(E$107*$B119^3*$J$103)),0)</f>
        <v>15</v>
      </c>
      <c r="F119" s="14">
        <f>ROUNDUP(+MIN((15000*8*$J$6*IF('Span Table '!$T$5="Yes",2,1)*144)/(F$107*$B119*$J$103),(($B119/120)*48*144*10000000*$J$4*IF('Span Table '!$T$5="Yes",2,1)*2)/(F$107*$B119^3*$J$103)),0)</f>
        <v>15</v>
      </c>
      <c r="G119" s="14">
        <f>ROUNDUP(+MIN((15000*8*$J$6*IF('Span Table '!$T$5="Yes",2,1)*144)/(G$107*$B119*$J$103),(($B119/120)*48*144*10000000*$J$4*IF('Span Table '!$T$5="Yes",2,1)*2)/(G$107*$B119^3*$J$103)),0)</f>
        <v>14</v>
      </c>
      <c r="H119" s="14">
        <f>ROUNDUP(+MIN((15000*8*$J$6*IF('Span Table '!$T$5="Yes",2,1)*144)/(H$107*$B119*$J$103),(($B119/120)*48*144*10000000*$J$4*IF('Span Table '!$T$5="Yes",2,1)*2)/(H$107*$B119^3*$J$103)),0)</f>
        <v>13</v>
      </c>
      <c r="I119" s="14">
        <f>ROUNDUP(+MIN((15000*8*$J$6*IF('Span Table '!$T$5="Yes",2,1)*144)/(I$107*$B119*$J$103),(($B119/120)*48*144*10000000*$J$4*IF('Span Table '!$T$5="Yes",2,1)*2)/(I$107*$B119^3*$J$103)),0)</f>
        <v>13</v>
      </c>
      <c r="J119" s="14">
        <f>ROUNDUP(+MIN((15000*8*$J$6*IF('Span Table '!$T$5="Yes",2,1)*144)/(J$107*$B119*$J$103),(($B119/120)*48*144*10000000*$J$4*IF('Span Table '!$T$5="Yes",2,1)*2)/(J$107*$B119^3*$J$103)),0)</f>
        <v>12</v>
      </c>
      <c r="K119" s="14">
        <f>ROUNDUP(+MIN((15000*8*$J$6*IF('Span Table '!$T$5="Yes",2,1)*144)/(K$107*$B119*$J$103),(($B119/120)*48*144*10000000*$J$4*IF('Span Table '!$T$5="Yes",2,1)*2)/(K$107*$B119^3*$J$103)),0)</f>
        <v>12</v>
      </c>
      <c r="L119" s="25">
        <f t="shared" si="15"/>
        <v>162</v>
      </c>
      <c r="M119" s="37"/>
      <c r="N119" s="37"/>
      <c r="O119" s="37"/>
      <c r="P119" s="37"/>
      <c r="Q119" s="37"/>
      <c r="R119" s="37"/>
      <c r="S119" s="37"/>
      <c r="T119" s="37"/>
      <c r="U119" s="37"/>
      <c r="V119" s="37"/>
    </row>
    <row r="120" spans="1:22" ht="15.75" customHeight="1" thickBot="1" x14ac:dyDescent="0.3">
      <c r="A120" s="1"/>
      <c r="B120" s="25">
        <f t="shared" si="16"/>
        <v>228</v>
      </c>
      <c r="C120" s="14">
        <f>ROUNDUP(+MIN((15000*8*$J$6*IF('Span Table '!$T$5="Yes",2,1)*144)/(C$107*$B120*$J$103),(($B120/120)*48*144*10000000*$J$4*IF('Span Table '!$T$5="Yes",2,1)*2)/(C$107*$B120^3*$J$103)),0)</f>
        <v>17</v>
      </c>
      <c r="D120" s="14">
        <f>ROUNDUP(+MIN((15000*8*$J$6*IF('Span Table '!$T$5="Yes",2,1)*144)/(D$107*$B120*$J$103),(($B120/120)*48*144*10000000*$J$4*IF('Span Table '!$T$5="Yes",2,1)*2)/(D$107*$B120^3*$J$103)),0)</f>
        <v>16</v>
      </c>
      <c r="E120" s="14">
        <f>ROUNDUP(+MIN((15000*8*$J$6*IF('Span Table '!$T$5="Yes",2,1)*144)/(E$107*$B120*$J$103),(($B120/120)*48*144*10000000*$J$4*IF('Span Table '!$T$5="Yes",2,1)*2)/(E$107*$B120^3*$J$103)),0)</f>
        <v>16</v>
      </c>
      <c r="F120" s="14">
        <f>ROUNDUP(+MIN((15000*8*$J$6*IF('Span Table '!$T$5="Yes",2,1)*144)/(F$107*$B120*$J$103),(($B120/120)*48*144*10000000*$J$4*IF('Span Table '!$T$5="Yes",2,1)*2)/(F$107*$B120^3*$J$103)),0)</f>
        <v>15</v>
      </c>
      <c r="G120" s="14">
        <f>ROUNDUP(+MIN((15000*8*$J$6*IF('Span Table '!$T$5="Yes",2,1)*144)/(G$107*$B120*$J$103),(($B120/120)*48*144*10000000*$J$4*IF('Span Table '!$T$5="Yes",2,1)*2)/(G$107*$B120^3*$J$103)),0)</f>
        <v>14</v>
      </c>
      <c r="H120" s="14">
        <f>ROUNDUP(+MIN((15000*8*$J$6*IF('Span Table '!$T$5="Yes",2,1)*144)/(H$107*$B120*$J$103),(($B120/120)*48*144*10000000*$J$4*IF('Span Table '!$T$5="Yes",2,1)*2)/(H$107*$B120^3*$J$103)),0)</f>
        <v>14</v>
      </c>
      <c r="I120" s="14">
        <f>ROUNDUP(+MIN((15000*8*$J$6*IF('Span Table '!$T$5="Yes",2,1)*144)/(I$107*$B120*$J$103),(($B120/120)*48*144*10000000*$J$4*IF('Span Table '!$T$5="Yes",2,1)*2)/(I$107*$B120^3*$J$103)),0)</f>
        <v>13</v>
      </c>
      <c r="J120" s="14">
        <f>ROUNDUP(+MIN((15000*8*$J$6*IF('Span Table '!$T$5="Yes",2,1)*144)/(J$107*$B120*$J$103),(($B120/120)*48*144*10000000*$J$4*IF('Span Table '!$T$5="Yes",2,1)*2)/(J$107*$B120^3*$J$103)),0)</f>
        <v>13</v>
      </c>
      <c r="K120" s="14">
        <f>ROUNDUP(+MIN((15000*8*$J$6*IF('Span Table '!$T$5="Yes",2,1)*144)/(K$107*$B120*$J$103),(($B120/120)*48*144*10000000*$J$4*IF('Span Table '!$T$5="Yes",2,1)*2)/(K$107*$B120^3*$J$103)),0)</f>
        <v>12</v>
      </c>
      <c r="L120" s="25">
        <f t="shared" si="15"/>
        <v>168</v>
      </c>
      <c r="M120" s="37"/>
      <c r="N120" s="37"/>
      <c r="O120" s="37"/>
      <c r="P120" s="37"/>
      <c r="Q120" s="37"/>
      <c r="R120" s="37"/>
      <c r="S120" s="37"/>
      <c r="T120" s="37"/>
      <c r="U120" s="37"/>
      <c r="V120" s="37"/>
    </row>
    <row r="121" spans="1:22" ht="15.75" customHeight="1" thickBot="1" x14ac:dyDescent="0.3">
      <c r="A121" s="1"/>
      <c r="B121" s="25">
        <f t="shared" si="16"/>
        <v>222</v>
      </c>
      <c r="C121" s="14">
        <f>ROUNDUP(+MIN((15000*8*$J$6*IF('Span Table '!$T$5="Yes",2,1)*144)/(C$107*$B121*$J$103),(($B121/120)*48*144*10000000*$J$4*IF('Span Table '!$T$5="Yes",2,1)*2)/(C$107*$B121^3*$J$103)),0)</f>
        <v>18</v>
      </c>
      <c r="D121" s="14">
        <f>ROUNDUP(+MIN((15000*8*$J$6*IF('Span Table '!$T$5="Yes",2,1)*144)/(D$107*$B121*$J$103),(($B121/120)*48*144*10000000*$J$4*IF('Span Table '!$T$5="Yes",2,1)*2)/(D$107*$B121^3*$J$103)),0)</f>
        <v>17</v>
      </c>
      <c r="E121" s="14">
        <f>ROUNDUP(+MIN((15000*8*$J$6*IF('Span Table '!$T$5="Yes",2,1)*144)/(E$107*$B121*$J$103),(($B121/120)*48*144*10000000*$J$4*IF('Span Table '!$T$5="Yes",2,1)*2)/(E$107*$B121^3*$J$103)),0)</f>
        <v>16</v>
      </c>
      <c r="F121" s="14">
        <f>ROUNDUP(+MIN((15000*8*$J$6*IF('Span Table '!$T$5="Yes",2,1)*144)/(F$107*$B121*$J$103),(($B121/120)*48*144*10000000*$J$4*IF('Span Table '!$T$5="Yes",2,1)*2)/(F$107*$B121^3*$J$103)),0)</f>
        <v>15</v>
      </c>
      <c r="G121" s="14">
        <f>ROUNDUP(+MIN((15000*8*$J$6*IF('Span Table '!$T$5="Yes",2,1)*144)/(G$107*$B121*$J$103),(($B121/120)*48*144*10000000*$J$4*IF('Span Table '!$T$5="Yes",2,1)*2)/(G$107*$B121^3*$J$103)),0)</f>
        <v>15</v>
      </c>
      <c r="H121" s="14">
        <f>ROUNDUP(+MIN((15000*8*$J$6*IF('Span Table '!$T$5="Yes",2,1)*144)/(H$107*$B121*$J$103),(($B121/120)*48*144*10000000*$J$4*IF('Span Table '!$T$5="Yes",2,1)*2)/(H$107*$B121^3*$J$103)),0)</f>
        <v>14</v>
      </c>
      <c r="I121" s="14">
        <f>ROUNDUP(+MIN((15000*8*$J$6*IF('Span Table '!$T$5="Yes",2,1)*144)/(I$107*$B121*$J$103),(($B121/120)*48*144*10000000*$J$4*IF('Span Table '!$T$5="Yes",2,1)*2)/(I$107*$B121^3*$J$103)),0)</f>
        <v>14</v>
      </c>
      <c r="J121" s="14">
        <f>ROUNDUP(+MIN((15000*8*$J$6*IF('Span Table '!$T$5="Yes",2,1)*144)/(J$107*$B121*$J$103),(($B121/120)*48*144*10000000*$J$4*IF('Span Table '!$T$5="Yes",2,1)*2)/(J$107*$B121^3*$J$103)),0)</f>
        <v>13</v>
      </c>
      <c r="K121" s="14">
        <f>ROUNDUP(+MIN((15000*8*$J$6*IF('Span Table '!$T$5="Yes",2,1)*144)/(K$107*$B121*$J$103),(($B121/120)*48*144*10000000*$J$4*IF('Span Table '!$T$5="Yes",2,1)*2)/(K$107*$B121^3*$J$103)),0)</f>
        <v>13</v>
      </c>
      <c r="L121" s="25">
        <f t="shared" si="15"/>
        <v>174</v>
      </c>
      <c r="M121" s="37"/>
      <c r="N121" s="37"/>
      <c r="O121" s="37"/>
      <c r="P121" s="37"/>
      <c r="Q121" s="37"/>
      <c r="R121" s="37"/>
      <c r="S121" s="37"/>
      <c r="T121" s="37"/>
      <c r="U121" s="37"/>
      <c r="V121" s="37"/>
    </row>
    <row r="122" spans="1:22" ht="15.75" customHeight="1" thickBot="1" x14ac:dyDescent="0.3">
      <c r="A122" s="1"/>
      <c r="B122" s="25">
        <f t="shared" si="16"/>
        <v>216</v>
      </c>
      <c r="C122" s="14">
        <f>ROUNDUP(+MIN((15000*8*$J$6*IF('Span Table '!$T$5="Yes",2,1)*144)/(C$107*$B122*$J$103),(($B122/120)*48*144*10000000*$J$4*IF('Span Table '!$T$5="Yes",2,1)*2)/(C$107*$B122^3*$J$103)),0)</f>
        <v>18</v>
      </c>
      <c r="D122" s="14">
        <f>ROUNDUP(+MIN((15000*8*$J$6*IF('Span Table '!$T$5="Yes",2,1)*144)/(D$107*$B122*$J$103),(($B122/120)*48*144*10000000*$J$4*IF('Span Table '!$T$5="Yes",2,1)*2)/(D$107*$B122^3*$J$103)),0)</f>
        <v>17</v>
      </c>
      <c r="E122" s="14">
        <f>ROUNDUP(+MIN((15000*8*$J$6*IF('Span Table '!$T$5="Yes",2,1)*144)/(E$107*$B122*$J$103),(($B122/120)*48*144*10000000*$J$4*IF('Span Table '!$T$5="Yes",2,1)*2)/(E$107*$B122^3*$J$103)),0)</f>
        <v>16</v>
      </c>
      <c r="F122" s="14">
        <f>ROUNDUP(+MIN((15000*8*$J$6*IF('Span Table '!$T$5="Yes",2,1)*144)/(F$107*$B122*$J$103),(($B122/120)*48*144*10000000*$J$4*IF('Span Table '!$T$5="Yes",2,1)*2)/(F$107*$B122^3*$J$103)),0)</f>
        <v>16</v>
      </c>
      <c r="G122" s="14">
        <f>ROUNDUP(+MIN((15000*8*$J$6*IF('Span Table '!$T$5="Yes",2,1)*144)/(G$107*$B122*$J$103),(($B122/120)*48*144*10000000*$J$4*IF('Span Table '!$T$5="Yes",2,1)*2)/(G$107*$B122^3*$J$103)),0)</f>
        <v>15</v>
      </c>
      <c r="H122" s="14">
        <f>ROUNDUP(+MIN((15000*8*$J$6*IF('Span Table '!$T$5="Yes",2,1)*144)/(H$107*$B122*$J$103),(($B122/120)*48*144*10000000*$J$4*IF('Span Table '!$T$5="Yes",2,1)*2)/(H$107*$B122^3*$J$103)),0)</f>
        <v>14</v>
      </c>
      <c r="I122" s="14">
        <f>ROUNDUP(+MIN((15000*8*$J$6*IF('Span Table '!$T$5="Yes",2,1)*144)/(I$107*$B122*$J$103),(($B122/120)*48*144*10000000*$J$4*IF('Span Table '!$T$5="Yes",2,1)*2)/(I$107*$B122^3*$J$103)),0)</f>
        <v>14</v>
      </c>
      <c r="J122" s="14">
        <f>ROUNDUP(+MIN((15000*8*$J$6*IF('Span Table '!$T$5="Yes",2,1)*144)/(J$107*$B122*$J$103),(($B122/120)*48*144*10000000*$J$4*IF('Span Table '!$T$5="Yes",2,1)*2)/(J$107*$B122^3*$J$103)),0)</f>
        <v>13</v>
      </c>
      <c r="K122" s="14">
        <f>ROUNDUP(+MIN((15000*8*$J$6*IF('Span Table '!$T$5="Yes",2,1)*144)/(K$107*$B122*$J$103),(($B122/120)*48*144*10000000*$J$4*IF('Span Table '!$T$5="Yes",2,1)*2)/(K$107*$B122^3*$J$103)),0)</f>
        <v>13</v>
      </c>
      <c r="L122" s="25">
        <f t="shared" si="15"/>
        <v>180</v>
      </c>
      <c r="M122" s="37"/>
      <c r="N122" s="37"/>
      <c r="O122" s="37"/>
      <c r="P122" s="37"/>
      <c r="Q122" s="37"/>
      <c r="R122" s="37"/>
      <c r="S122" s="37"/>
      <c r="T122" s="37"/>
      <c r="U122" s="37"/>
      <c r="V122" s="37"/>
    </row>
    <row r="123" spans="1:22" ht="15.75" customHeight="1" thickBot="1" x14ac:dyDescent="0.3">
      <c r="A123" s="1"/>
      <c r="B123" s="25">
        <f t="shared" si="16"/>
        <v>210</v>
      </c>
      <c r="C123" s="14">
        <f>ROUNDUP(+MIN((15000*8*$J$6*IF('Span Table '!$T$5="Yes",2,1)*144)/(C$107*$B123*$J$103),(($B123/120)*48*144*10000000*$J$4*IF('Span Table '!$T$5="Yes",2,1)*2)/(C$107*$B123^3*$J$103)),0)</f>
        <v>18</v>
      </c>
      <c r="D123" s="14">
        <f>ROUNDUP(+MIN((15000*8*$J$6*IF('Span Table '!$T$5="Yes",2,1)*144)/(D$107*$B123*$J$103),(($B123/120)*48*144*10000000*$J$4*IF('Span Table '!$T$5="Yes",2,1)*2)/(D$107*$B123^3*$J$103)),0)</f>
        <v>18</v>
      </c>
      <c r="E123" s="14">
        <f>ROUNDUP(+MIN((15000*8*$J$6*IF('Span Table '!$T$5="Yes",2,1)*144)/(E$107*$B123*$J$103),(($B123/120)*48*144*10000000*$J$4*IF('Span Table '!$T$5="Yes",2,1)*2)/(E$107*$B123^3*$J$103)),0)</f>
        <v>17</v>
      </c>
      <c r="F123" s="14">
        <f>ROUNDUP(+MIN((15000*8*$J$6*IF('Span Table '!$T$5="Yes",2,1)*144)/(F$107*$B123*$J$103),(($B123/120)*48*144*10000000*$J$4*IF('Span Table '!$T$5="Yes",2,1)*2)/(F$107*$B123^3*$J$103)),0)</f>
        <v>16</v>
      </c>
      <c r="G123" s="14">
        <f>ROUNDUP(+MIN((15000*8*$J$6*IF('Span Table '!$T$5="Yes",2,1)*144)/(G$107*$B123*$J$103),(($B123/120)*48*144*10000000*$J$4*IF('Span Table '!$T$5="Yes",2,1)*2)/(G$107*$B123^3*$J$103)),0)</f>
        <v>15</v>
      </c>
      <c r="H123" s="14">
        <f>ROUNDUP(+MIN((15000*8*$J$6*IF('Span Table '!$T$5="Yes",2,1)*144)/(H$107*$B123*$J$103),(($B123/120)*48*144*10000000*$J$4*IF('Span Table '!$T$5="Yes",2,1)*2)/(H$107*$B123^3*$J$103)),0)</f>
        <v>15</v>
      </c>
      <c r="I123" s="14">
        <f>ROUNDUP(+MIN((15000*8*$J$6*IF('Span Table '!$T$5="Yes",2,1)*144)/(I$107*$B123*$J$103),(($B123/120)*48*144*10000000*$J$4*IF('Span Table '!$T$5="Yes",2,1)*2)/(I$107*$B123^3*$J$103)),0)</f>
        <v>14</v>
      </c>
      <c r="J123" s="14">
        <f>ROUNDUP(+MIN((15000*8*$J$6*IF('Span Table '!$T$5="Yes",2,1)*144)/(J$107*$B123*$J$103),(($B123/120)*48*144*10000000*$J$4*IF('Span Table '!$T$5="Yes",2,1)*2)/(J$107*$B123^3*$J$103)),0)</f>
        <v>14</v>
      </c>
      <c r="K123" s="14">
        <f>ROUNDUP(+MIN((15000*8*$J$6*IF('Span Table '!$T$5="Yes",2,1)*144)/(K$107*$B123*$J$103),(($B123/120)*48*144*10000000*$J$4*IF('Span Table '!$T$5="Yes",2,1)*2)/(K$107*$B123^3*$J$103)),0)</f>
        <v>13</v>
      </c>
      <c r="L123" s="25">
        <f t="shared" si="15"/>
        <v>186</v>
      </c>
      <c r="M123" s="37"/>
      <c r="N123" s="37"/>
      <c r="O123" s="37"/>
      <c r="P123" s="37"/>
      <c r="Q123" s="37"/>
      <c r="R123" s="37"/>
      <c r="S123" s="37"/>
      <c r="T123" s="37"/>
      <c r="U123" s="37"/>
      <c r="V123" s="37"/>
    </row>
    <row r="124" spans="1:22" ht="15.75" customHeight="1" thickBot="1" x14ac:dyDescent="0.3">
      <c r="A124" s="1"/>
      <c r="B124" s="25">
        <f t="shared" si="16"/>
        <v>204</v>
      </c>
      <c r="C124" s="14">
        <f>ROUNDUP(+MIN((15000*8*$J$6*IF('Span Table '!$T$5="Yes",2,1)*144)/(C$107*$B124*$J$103),(($B124/120)*48*144*10000000*$J$4*IF('Span Table '!$T$5="Yes",2,1)*2)/(C$107*$B124^3*$J$103)),0)</f>
        <v>19</v>
      </c>
      <c r="D124" s="14">
        <f>ROUNDUP(+MIN((15000*8*$J$6*IF('Span Table '!$T$5="Yes",2,1)*144)/(D$107*$B124*$J$103),(($B124/120)*48*144*10000000*$J$4*IF('Span Table '!$T$5="Yes",2,1)*2)/(D$107*$B124^3*$J$103)),0)</f>
        <v>18</v>
      </c>
      <c r="E124" s="14">
        <f>ROUNDUP(+MIN((15000*8*$J$6*IF('Span Table '!$T$5="Yes",2,1)*144)/(E$107*$B124*$J$103),(($B124/120)*48*144*10000000*$J$4*IF('Span Table '!$T$5="Yes",2,1)*2)/(E$107*$B124^3*$J$103)),0)</f>
        <v>17</v>
      </c>
      <c r="F124" s="14">
        <f>ROUNDUP(+MIN((15000*8*$J$6*IF('Span Table '!$T$5="Yes",2,1)*144)/(F$107*$B124*$J$103),(($B124/120)*48*144*10000000*$J$4*IF('Span Table '!$T$5="Yes",2,1)*2)/(F$107*$B124^3*$J$103)),0)</f>
        <v>17</v>
      </c>
      <c r="G124" s="14">
        <f>ROUNDUP(+MIN((15000*8*$J$6*IF('Span Table '!$T$5="Yes",2,1)*144)/(G$107*$B124*$J$103),(($B124/120)*48*144*10000000*$J$4*IF('Span Table '!$T$5="Yes",2,1)*2)/(G$107*$B124^3*$J$103)),0)</f>
        <v>16</v>
      </c>
      <c r="H124" s="14">
        <f>ROUNDUP(+MIN((15000*8*$J$6*IF('Span Table '!$T$5="Yes",2,1)*144)/(H$107*$B124*$J$103),(($B124/120)*48*144*10000000*$J$4*IF('Span Table '!$T$5="Yes",2,1)*2)/(H$107*$B124^3*$J$103)),0)</f>
        <v>15</v>
      </c>
      <c r="I124" s="14">
        <f>ROUNDUP(+MIN((15000*8*$J$6*IF('Span Table '!$T$5="Yes",2,1)*144)/(I$107*$B124*$J$103),(($B124/120)*48*144*10000000*$J$4*IF('Span Table '!$T$5="Yes",2,1)*2)/(I$107*$B124^3*$J$103)),0)</f>
        <v>15</v>
      </c>
      <c r="J124" s="14">
        <f>ROUNDUP(+MIN((15000*8*$J$6*IF('Span Table '!$T$5="Yes",2,1)*144)/(J$107*$B124*$J$103),(($B124/120)*48*144*10000000*$J$4*IF('Span Table '!$T$5="Yes",2,1)*2)/(J$107*$B124^3*$J$103)),0)</f>
        <v>14</v>
      </c>
      <c r="K124" s="14">
        <f>ROUNDUP(+MIN((15000*8*$J$6*IF('Span Table '!$T$5="Yes",2,1)*144)/(K$107*$B124*$J$103),(($B124/120)*48*144*10000000*$J$4*IF('Span Table '!$T$5="Yes",2,1)*2)/(K$107*$B124^3*$J$103)),0)</f>
        <v>14</v>
      </c>
      <c r="L124" s="25">
        <f t="shared" si="15"/>
        <v>192</v>
      </c>
      <c r="M124" s="37"/>
      <c r="N124" s="37"/>
      <c r="O124" s="37"/>
      <c r="P124" s="37"/>
      <c r="Q124" s="37"/>
      <c r="R124" s="37"/>
      <c r="S124" s="37"/>
      <c r="T124" s="37"/>
      <c r="U124" s="37"/>
      <c r="V124" s="37"/>
    </row>
    <row r="125" spans="1:22" ht="15.75" customHeight="1" thickBot="1" x14ac:dyDescent="0.3">
      <c r="A125" s="1"/>
      <c r="B125" s="25">
        <f t="shared" si="16"/>
        <v>198</v>
      </c>
      <c r="C125" s="14">
        <f>ROUNDUP(+MIN((15000*8*$J$6*IF('Span Table '!$T$5="Yes",2,1)*144)/(C$107*$B125*$J$103),(($B125/120)*48*144*10000000*$J$4*IF('Span Table '!$T$5="Yes",2,1)*2)/(C$107*$B125^3*$J$103)),0)</f>
        <v>20</v>
      </c>
      <c r="D125" s="14">
        <f>ROUNDUP(+MIN((15000*8*$J$6*IF('Span Table '!$T$5="Yes",2,1)*144)/(D$107*$B125*$J$103),(($B125/120)*48*144*10000000*$J$4*IF('Span Table '!$T$5="Yes",2,1)*2)/(D$107*$B125^3*$J$103)),0)</f>
        <v>19</v>
      </c>
      <c r="E125" s="14">
        <f>ROUNDUP(+MIN((15000*8*$J$6*IF('Span Table '!$T$5="Yes",2,1)*144)/(E$107*$B125*$J$103),(($B125/120)*48*144*10000000*$J$4*IF('Span Table '!$T$5="Yes",2,1)*2)/(E$107*$B125^3*$J$103)),0)</f>
        <v>18</v>
      </c>
      <c r="F125" s="14">
        <f>ROUNDUP(+MIN((15000*8*$J$6*IF('Span Table '!$T$5="Yes",2,1)*144)/(F$107*$B125*$J$103),(($B125/120)*48*144*10000000*$J$4*IF('Span Table '!$T$5="Yes",2,1)*2)/(F$107*$B125^3*$J$103)),0)</f>
        <v>17</v>
      </c>
      <c r="G125" s="14">
        <f>ROUNDUP(+MIN((15000*8*$J$6*IF('Span Table '!$T$5="Yes",2,1)*144)/(G$107*$B125*$J$103),(($B125/120)*48*144*10000000*$J$4*IF('Span Table '!$T$5="Yes",2,1)*2)/(G$107*$B125^3*$J$103)),0)</f>
        <v>16</v>
      </c>
      <c r="H125" s="14">
        <f>ROUNDUP(+MIN((15000*8*$J$6*IF('Span Table '!$T$5="Yes",2,1)*144)/(H$107*$B125*$J$103),(($B125/120)*48*144*10000000*$J$4*IF('Span Table '!$T$5="Yes",2,1)*2)/(H$107*$B125^3*$J$103)),0)</f>
        <v>16</v>
      </c>
      <c r="I125" s="14">
        <f>ROUNDUP(+MIN((15000*8*$J$6*IF('Span Table '!$T$5="Yes",2,1)*144)/(I$107*$B125*$J$103),(($B125/120)*48*144*10000000*$J$4*IF('Span Table '!$T$5="Yes",2,1)*2)/(I$107*$B125^3*$J$103)),0)</f>
        <v>15</v>
      </c>
      <c r="J125" s="14">
        <f>ROUNDUP(+MIN((15000*8*$J$6*IF('Span Table '!$T$5="Yes",2,1)*144)/(J$107*$B125*$J$103),(($B125/120)*48*144*10000000*$J$4*IF('Span Table '!$T$5="Yes",2,1)*2)/(J$107*$B125^3*$J$103)),0)</f>
        <v>15</v>
      </c>
      <c r="K125" s="14">
        <f>ROUNDUP(+MIN((15000*8*$J$6*IF('Span Table '!$T$5="Yes",2,1)*144)/(K$107*$B125*$J$103),(($B125/120)*48*144*10000000*$J$4*IF('Span Table '!$T$5="Yes",2,1)*2)/(K$107*$B125^3*$J$103)),0)</f>
        <v>14</v>
      </c>
      <c r="L125" s="25">
        <f t="shared" si="15"/>
        <v>198</v>
      </c>
      <c r="M125" s="37"/>
      <c r="N125" s="37"/>
      <c r="O125" s="37"/>
      <c r="P125" s="37"/>
      <c r="Q125" s="37"/>
      <c r="R125" s="37"/>
      <c r="S125" s="37"/>
      <c r="T125" s="37"/>
      <c r="U125" s="37"/>
      <c r="V125" s="37"/>
    </row>
    <row r="126" spans="1:22" ht="15.75" customHeight="1" thickBot="1" x14ac:dyDescent="0.3">
      <c r="A126" s="1"/>
      <c r="B126" s="25">
        <f t="shared" si="16"/>
        <v>192</v>
      </c>
      <c r="C126" s="14">
        <f>ROUNDUP(+MIN((15000*8*$J$6*IF('Span Table '!$T$5="Yes",2,1)*144)/(C$107*$B126*$J$103),(($B126/120)*48*144*10000000*$J$4*IF('Span Table '!$T$5="Yes",2,1)*2)/(C$107*$B126^3*$J$103)),0)</f>
        <v>20</v>
      </c>
      <c r="D126" s="14">
        <f>ROUNDUP(+MIN((15000*8*$J$6*IF('Span Table '!$T$5="Yes",2,1)*144)/(D$107*$B126*$J$103),(($B126/120)*48*144*10000000*$J$4*IF('Span Table '!$T$5="Yes",2,1)*2)/(D$107*$B126^3*$J$103)),0)</f>
        <v>19</v>
      </c>
      <c r="E126" s="14">
        <f>ROUNDUP(+MIN((15000*8*$J$6*IF('Span Table '!$T$5="Yes",2,1)*144)/(E$107*$B126*$J$103),(($B126/120)*48*144*10000000*$J$4*IF('Span Table '!$T$5="Yes",2,1)*2)/(E$107*$B126^3*$J$103)),0)</f>
        <v>18</v>
      </c>
      <c r="F126" s="14">
        <f>ROUNDUP(+MIN((15000*8*$J$6*IF('Span Table '!$T$5="Yes",2,1)*144)/(F$107*$B126*$J$103),(($B126/120)*48*144*10000000*$J$4*IF('Span Table '!$T$5="Yes",2,1)*2)/(F$107*$B126^3*$J$103)),0)</f>
        <v>18</v>
      </c>
      <c r="G126" s="14">
        <f>ROUNDUP(+MIN((15000*8*$J$6*IF('Span Table '!$T$5="Yes",2,1)*144)/(G$107*$B126*$J$103),(($B126/120)*48*144*10000000*$J$4*IF('Span Table '!$T$5="Yes",2,1)*2)/(G$107*$B126^3*$J$103)),0)</f>
        <v>17</v>
      </c>
      <c r="H126" s="14">
        <f>ROUNDUP(+MIN((15000*8*$J$6*IF('Span Table '!$T$5="Yes",2,1)*144)/(H$107*$B126*$J$103),(($B126/120)*48*144*10000000*$J$4*IF('Span Table '!$T$5="Yes",2,1)*2)/(H$107*$B126^3*$J$103)),0)</f>
        <v>16</v>
      </c>
      <c r="I126" s="14">
        <f>ROUNDUP(+MIN((15000*8*$J$6*IF('Span Table '!$T$5="Yes",2,1)*144)/(I$107*$B126*$J$103),(($B126/120)*48*144*10000000*$J$4*IF('Span Table '!$T$5="Yes",2,1)*2)/(I$107*$B126^3*$J$103)),0)</f>
        <v>16</v>
      </c>
      <c r="J126" s="14">
        <f>ROUNDUP(+MIN((15000*8*$J$6*IF('Span Table '!$T$5="Yes",2,1)*144)/(J$107*$B126*$J$103),(($B126/120)*48*144*10000000*$J$4*IF('Span Table '!$T$5="Yes",2,1)*2)/(J$107*$B126^3*$J$103)),0)</f>
        <v>15</v>
      </c>
      <c r="K126" s="14">
        <f>ROUNDUP(+MIN((15000*8*$J$6*IF('Span Table '!$T$5="Yes",2,1)*144)/(K$107*$B126*$J$103),(($B126/120)*48*144*10000000*$J$4*IF('Span Table '!$T$5="Yes",2,1)*2)/(K$107*$B126^3*$J$103)),0)</f>
        <v>14</v>
      </c>
      <c r="L126" s="25">
        <f t="shared" si="15"/>
        <v>204</v>
      </c>
      <c r="M126" s="37"/>
      <c r="N126" s="37"/>
      <c r="O126" s="37"/>
      <c r="P126" s="37"/>
      <c r="Q126" s="37"/>
      <c r="R126" s="37"/>
      <c r="S126" s="37"/>
      <c r="T126" s="37"/>
      <c r="U126" s="37"/>
      <c r="V126" s="37"/>
    </row>
    <row r="127" spans="1:22" ht="15.75" customHeight="1" thickBot="1" x14ac:dyDescent="0.3">
      <c r="A127" s="1"/>
      <c r="B127" s="25">
        <f t="shared" si="16"/>
        <v>186</v>
      </c>
      <c r="C127" s="14">
        <f>ROUNDUP(+MIN((15000*8*$J$6*IF('Span Table '!$T$5="Yes",2,1)*144)/(C$107*$B127*$J$103),(($B127/120)*48*144*10000000*$J$4*IF('Span Table '!$T$5="Yes",2,1)*2)/(C$107*$B127^3*$J$103)),0)</f>
        <v>21</v>
      </c>
      <c r="D127" s="14">
        <f>ROUNDUP(+MIN((15000*8*$J$6*IF('Span Table '!$T$5="Yes",2,1)*144)/(D$107*$B127*$J$103),(($B127/120)*48*144*10000000*$J$4*IF('Span Table '!$T$5="Yes",2,1)*2)/(D$107*$B127^3*$J$103)),0)</f>
        <v>20</v>
      </c>
      <c r="E127" s="14">
        <f>ROUNDUP(+MIN((15000*8*$J$6*IF('Span Table '!$T$5="Yes",2,1)*144)/(E$107*$B127*$J$103),(($B127/120)*48*144*10000000*$J$4*IF('Span Table '!$T$5="Yes",2,1)*2)/(E$107*$B127^3*$J$103)),0)</f>
        <v>19</v>
      </c>
      <c r="F127" s="14">
        <f>ROUNDUP(+MIN((15000*8*$J$6*IF('Span Table '!$T$5="Yes",2,1)*144)/(F$107*$B127*$J$103),(($B127/120)*48*144*10000000*$J$4*IF('Span Table '!$T$5="Yes",2,1)*2)/(F$107*$B127^3*$J$103)),0)</f>
        <v>18</v>
      </c>
      <c r="G127" s="14">
        <f>ROUNDUP(+MIN((15000*8*$J$6*IF('Span Table '!$T$5="Yes",2,1)*144)/(G$107*$B127*$J$103),(($B127/120)*48*144*10000000*$J$4*IF('Span Table '!$T$5="Yes",2,1)*2)/(G$107*$B127^3*$J$103)),0)</f>
        <v>17</v>
      </c>
      <c r="H127" s="14">
        <f>ROUNDUP(+MIN((15000*8*$J$6*IF('Span Table '!$T$5="Yes",2,1)*144)/(H$107*$B127*$J$103),(($B127/120)*48*144*10000000*$J$4*IF('Span Table '!$T$5="Yes",2,1)*2)/(H$107*$B127^3*$J$103)),0)</f>
        <v>17</v>
      </c>
      <c r="I127" s="14">
        <f>ROUNDUP(+MIN((15000*8*$J$6*IF('Span Table '!$T$5="Yes",2,1)*144)/(I$107*$B127*$J$103),(($B127/120)*48*144*10000000*$J$4*IF('Span Table '!$T$5="Yes",2,1)*2)/(I$107*$B127^3*$J$103)),0)</f>
        <v>16</v>
      </c>
      <c r="J127" s="14">
        <f>ROUNDUP(+MIN((15000*8*$J$6*IF('Span Table '!$T$5="Yes",2,1)*144)/(J$107*$B127*$J$103),(($B127/120)*48*144*10000000*$J$4*IF('Span Table '!$T$5="Yes",2,1)*2)/(J$107*$B127^3*$J$103)),0)</f>
        <v>15</v>
      </c>
      <c r="K127" s="14">
        <f>ROUNDUP(+MIN((15000*8*$J$6*IF('Span Table '!$T$5="Yes",2,1)*144)/(K$107*$B127*$J$103),(($B127/120)*48*144*10000000*$J$4*IF('Span Table '!$T$5="Yes",2,1)*2)/(K$107*$B127^3*$J$103)),0)</f>
        <v>15</v>
      </c>
      <c r="L127" s="25">
        <f t="shared" si="15"/>
        <v>210</v>
      </c>
      <c r="M127" s="37"/>
      <c r="N127" s="37"/>
      <c r="O127" s="37"/>
      <c r="P127" s="37"/>
      <c r="Q127" s="37"/>
      <c r="R127" s="37"/>
      <c r="S127" s="37"/>
      <c r="T127" s="37"/>
      <c r="U127" s="37"/>
      <c r="V127" s="37"/>
    </row>
    <row r="128" spans="1:22" ht="15.75" customHeight="1" thickBot="1" x14ac:dyDescent="0.3">
      <c r="A128" s="1"/>
      <c r="B128" s="25">
        <f t="shared" si="16"/>
        <v>180</v>
      </c>
      <c r="C128" s="14">
        <f>ROUNDUP(+MIN((15000*8*$J$6*IF('Span Table '!$T$5="Yes",2,1)*144)/(C$107*$B128*$J$103),(($B128/120)*48*144*10000000*$J$4*IF('Span Table '!$T$5="Yes",2,1)*2)/(C$107*$B128^3*$J$103)),0)</f>
        <v>21</v>
      </c>
      <c r="D128" s="14">
        <f>ROUNDUP(+MIN((15000*8*$J$6*IF('Span Table '!$T$5="Yes",2,1)*144)/(D$107*$B128*$J$103),(($B128/120)*48*144*10000000*$J$4*IF('Span Table '!$T$5="Yes",2,1)*2)/(D$107*$B128^3*$J$103)),0)</f>
        <v>20</v>
      </c>
      <c r="E128" s="14">
        <f>ROUNDUP(+MIN((15000*8*$J$6*IF('Span Table '!$T$5="Yes",2,1)*144)/(E$107*$B128*$J$103),(($B128/120)*48*144*10000000*$J$4*IF('Span Table '!$T$5="Yes",2,1)*2)/(E$107*$B128^3*$J$103)),0)</f>
        <v>20</v>
      </c>
      <c r="F128" s="14">
        <f>ROUNDUP(+MIN((15000*8*$J$6*IF('Span Table '!$T$5="Yes",2,1)*144)/(F$107*$B128*$J$103),(($B128/120)*48*144*10000000*$J$4*IF('Span Table '!$T$5="Yes",2,1)*2)/(F$107*$B128^3*$J$103)),0)</f>
        <v>19</v>
      </c>
      <c r="G128" s="14">
        <f>ROUNDUP(+MIN((15000*8*$J$6*IF('Span Table '!$T$5="Yes",2,1)*144)/(G$107*$B128*$J$103),(($B128/120)*48*144*10000000*$J$4*IF('Span Table '!$T$5="Yes",2,1)*2)/(G$107*$B128^3*$J$103)),0)</f>
        <v>18</v>
      </c>
      <c r="H128" s="14">
        <f>ROUNDUP(+MIN((15000*8*$J$6*IF('Span Table '!$T$5="Yes",2,1)*144)/(H$107*$B128*$J$103),(($B128/120)*48*144*10000000*$J$4*IF('Span Table '!$T$5="Yes",2,1)*2)/(H$107*$B128^3*$J$103)),0)</f>
        <v>17</v>
      </c>
      <c r="I128" s="14">
        <f>ROUNDUP(+MIN((15000*8*$J$6*IF('Span Table '!$T$5="Yes",2,1)*144)/(I$107*$B128*$J$103),(($B128/120)*48*144*10000000*$J$4*IF('Span Table '!$T$5="Yes",2,1)*2)/(I$107*$B128^3*$J$103)),0)</f>
        <v>17</v>
      </c>
      <c r="J128" s="14">
        <f>ROUNDUP(+MIN((15000*8*$J$6*IF('Span Table '!$T$5="Yes",2,1)*144)/(J$107*$B128*$J$103),(($B128/120)*48*144*10000000*$J$4*IF('Span Table '!$T$5="Yes",2,1)*2)/(J$107*$B128^3*$J$103)),0)</f>
        <v>16</v>
      </c>
      <c r="K128" s="14">
        <f>ROUNDUP(+MIN((15000*8*$J$6*IF('Span Table '!$T$5="Yes",2,1)*144)/(K$107*$B128*$J$103),(($B128/120)*48*144*10000000*$J$4*IF('Span Table '!$T$5="Yes",2,1)*2)/(K$107*$B128^3*$J$103)),0)</f>
        <v>15</v>
      </c>
      <c r="L128" s="25">
        <f t="shared" si="15"/>
        <v>216</v>
      </c>
      <c r="M128" s="37"/>
      <c r="N128" s="37"/>
      <c r="O128" s="37"/>
      <c r="P128" s="37"/>
      <c r="Q128" s="37"/>
      <c r="R128" s="37"/>
      <c r="S128" s="37"/>
      <c r="T128" s="37"/>
      <c r="U128" s="37"/>
      <c r="V128" s="37"/>
    </row>
    <row r="129" spans="1:22" ht="15.75" customHeight="1" thickBot="1" x14ac:dyDescent="0.3">
      <c r="A129" s="1"/>
      <c r="B129" s="25">
        <f t="shared" si="16"/>
        <v>174</v>
      </c>
      <c r="C129" s="14">
        <f>ROUNDUP(+MIN((15000*8*$J$6*IF('Span Table '!$T$5="Yes",2,1)*144)/(C$107*$B129*$J$103),(($B129/120)*48*144*10000000*$J$4*IF('Span Table '!$T$5="Yes",2,1)*2)/(C$107*$B129^3*$J$103)),0)</f>
        <v>22</v>
      </c>
      <c r="D129" s="14">
        <f>ROUNDUP(+MIN((15000*8*$J$6*IF('Span Table '!$T$5="Yes",2,1)*144)/(D$107*$B129*$J$103),(($B129/120)*48*144*10000000*$J$4*IF('Span Table '!$T$5="Yes",2,1)*2)/(D$107*$B129^3*$J$103)),0)</f>
        <v>21</v>
      </c>
      <c r="E129" s="14">
        <f>ROUNDUP(+MIN((15000*8*$J$6*IF('Span Table '!$T$5="Yes",2,1)*144)/(E$107*$B129*$J$103),(($B129/120)*48*144*10000000*$J$4*IF('Span Table '!$T$5="Yes",2,1)*2)/(E$107*$B129^3*$J$103)),0)</f>
        <v>20</v>
      </c>
      <c r="F129" s="14">
        <f>ROUNDUP(+MIN((15000*8*$J$6*IF('Span Table '!$T$5="Yes",2,1)*144)/(F$107*$B129*$J$103),(($B129/120)*48*144*10000000*$J$4*IF('Span Table '!$T$5="Yes",2,1)*2)/(F$107*$B129^3*$J$103)),0)</f>
        <v>19</v>
      </c>
      <c r="G129" s="14">
        <f>ROUNDUP(+MIN((15000*8*$J$6*IF('Span Table '!$T$5="Yes",2,1)*144)/(G$107*$B129*$J$103),(($B129/120)*48*144*10000000*$J$4*IF('Span Table '!$T$5="Yes",2,1)*2)/(G$107*$B129^3*$J$103)),0)</f>
        <v>19</v>
      </c>
      <c r="H129" s="14">
        <f>ROUNDUP(+MIN((15000*8*$J$6*IF('Span Table '!$T$5="Yes",2,1)*144)/(H$107*$B129*$J$103),(($B129/120)*48*144*10000000*$J$4*IF('Span Table '!$T$5="Yes",2,1)*2)/(H$107*$B129^3*$J$103)),0)</f>
        <v>18</v>
      </c>
      <c r="I129" s="14">
        <f>ROUNDUP(+MIN((15000*8*$J$6*IF('Span Table '!$T$5="Yes",2,1)*144)/(I$107*$B129*$J$103),(($B129/120)*48*144*10000000*$J$4*IF('Span Table '!$T$5="Yes",2,1)*2)/(I$107*$B129^3*$J$103)),0)</f>
        <v>17</v>
      </c>
      <c r="J129" s="14">
        <f>ROUNDUP(+MIN((15000*8*$J$6*IF('Span Table '!$T$5="Yes",2,1)*144)/(J$107*$B129*$J$103),(($B129/120)*48*144*10000000*$J$4*IF('Span Table '!$T$5="Yes",2,1)*2)/(J$107*$B129^3*$J$103)),0)</f>
        <v>16</v>
      </c>
      <c r="K129" s="14">
        <f>ROUNDUP(+MIN((15000*8*$J$6*IF('Span Table '!$T$5="Yes",2,1)*144)/(K$107*$B129*$J$103),(($B129/120)*48*144*10000000*$J$4*IF('Span Table '!$T$5="Yes",2,1)*2)/(K$107*$B129^3*$J$103)),0)</f>
        <v>16</v>
      </c>
      <c r="L129" s="25">
        <f t="shared" si="15"/>
        <v>222</v>
      </c>
      <c r="M129" s="37"/>
      <c r="N129" s="37"/>
      <c r="O129" s="37"/>
      <c r="P129" s="37"/>
      <c r="Q129" s="37"/>
      <c r="R129" s="37"/>
      <c r="S129" s="37"/>
      <c r="T129" s="37"/>
      <c r="U129" s="37"/>
      <c r="V129" s="37"/>
    </row>
    <row r="130" spans="1:22" ht="15.75" customHeight="1" thickBot="1" x14ac:dyDescent="0.3">
      <c r="A130" s="1"/>
      <c r="B130" s="25">
        <f t="shared" si="16"/>
        <v>168</v>
      </c>
      <c r="C130" s="14">
        <f>ROUNDUP(+MIN((15000*8*$J$6*IF('Span Table '!$T$5="Yes",2,1)*144)/(C$107*$B130*$J$103),(($B130/120)*48*144*10000000*$J$4*IF('Span Table '!$T$5="Yes",2,1)*2)/(C$107*$B130^3*$J$103)),0)</f>
        <v>23</v>
      </c>
      <c r="D130" s="14">
        <f>ROUNDUP(+MIN((15000*8*$J$6*IF('Span Table '!$T$5="Yes",2,1)*144)/(D$107*$B130*$J$103),(($B130/120)*48*144*10000000*$J$4*IF('Span Table '!$T$5="Yes",2,1)*2)/(D$107*$B130^3*$J$103)),0)</f>
        <v>22</v>
      </c>
      <c r="E130" s="14">
        <f>ROUNDUP(+MIN((15000*8*$J$6*IF('Span Table '!$T$5="Yes",2,1)*144)/(E$107*$B130*$J$103),(($B130/120)*48*144*10000000*$J$4*IF('Span Table '!$T$5="Yes",2,1)*2)/(E$107*$B130^3*$J$103)),0)</f>
        <v>21</v>
      </c>
      <c r="F130" s="14">
        <f>ROUNDUP(+MIN((15000*8*$J$6*IF('Span Table '!$T$5="Yes",2,1)*144)/(F$107*$B130*$J$103),(($B130/120)*48*144*10000000*$J$4*IF('Span Table '!$T$5="Yes",2,1)*2)/(F$107*$B130^3*$J$103)),0)</f>
        <v>20</v>
      </c>
      <c r="G130" s="14">
        <f>ROUNDUP(+MIN((15000*8*$J$6*IF('Span Table '!$T$5="Yes",2,1)*144)/(G$107*$B130*$J$103),(($B130/120)*48*144*10000000*$J$4*IF('Span Table '!$T$5="Yes",2,1)*2)/(G$107*$B130^3*$J$103)),0)</f>
        <v>19</v>
      </c>
      <c r="H130" s="14">
        <f>ROUNDUP(+MIN((15000*8*$J$6*IF('Span Table '!$T$5="Yes",2,1)*144)/(H$107*$B130*$J$103),(($B130/120)*48*144*10000000*$J$4*IF('Span Table '!$T$5="Yes",2,1)*2)/(H$107*$B130^3*$J$103)),0)</f>
        <v>18</v>
      </c>
      <c r="I130" s="14">
        <f>ROUNDUP(+MIN((15000*8*$J$6*IF('Span Table '!$T$5="Yes",2,1)*144)/(I$107*$B130*$J$103),(($B130/120)*48*144*10000000*$J$4*IF('Span Table '!$T$5="Yes",2,1)*2)/(I$107*$B130^3*$J$103)),0)</f>
        <v>18</v>
      </c>
      <c r="J130" s="14">
        <f>ROUNDUP(+MIN((15000*8*$J$6*IF('Span Table '!$T$5="Yes",2,1)*144)/(J$107*$B130*$J$103),(($B130/120)*48*144*10000000*$J$4*IF('Span Table '!$T$5="Yes",2,1)*2)/(J$107*$B130^3*$J$103)),0)</f>
        <v>17</v>
      </c>
      <c r="K130" s="14">
        <f>ROUNDUP(+MIN((15000*8*$J$6*IF('Span Table '!$T$5="Yes",2,1)*144)/(K$107*$B130*$J$103),(($B130/120)*48*144*10000000*$J$4*IF('Span Table '!$T$5="Yes",2,1)*2)/(K$107*$B130^3*$J$103)),0)</f>
        <v>16</v>
      </c>
      <c r="L130" s="25">
        <f t="shared" si="15"/>
        <v>228</v>
      </c>
      <c r="M130" s="37"/>
      <c r="N130" s="37"/>
      <c r="O130" s="37"/>
      <c r="P130" s="37"/>
      <c r="Q130" s="37"/>
      <c r="R130" s="37"/>
      <c r="S130" s="37"/>
      <c r="T130" s="37"/>
      <c r="U130" s="37"/>
      <c r="V130" s="37"/>
    </row>
    <row r="131" spans="1:22" ht="15.75" customHeight="1" thickBot="1" x14ac:dyDescent="0.3">
      <c r="A131" s="1"/>
      <c r="B131" s="25">
        <f t="shared" si="16"/>
        <v>162</v>
      </c>
      <c r="C131" s="14">
        <f>ROUNDUP(+MIN((15000*8*$J$6*IF('Span Table '!$T$5="Yes",2,1)*144)/(C$107*$B131*$J$103),(($B131/120)*48*144*10000000*$J$4*IF('Span Table '!$T$5="Yes",2,1)*2)/(C$107*$B131^3*$J$103)),0)</f>
        <v>24</v>
      </c>
      <c r="D131" s="14">
        <f>ROUNDUP(+MIN((15000*8*$J$6*IF('Span Table '!$T$5="Yes",2,1)*144)/(D$107*$B131*$J$103),(($B131/120)*48*144*10000000*$J$4*IF('Span Table '!$T$5="Yes",2,1)*2)/(D$107*$B131^3*$J$103)),0)</f>
        <v>23</v>
      </c>
      <c r="E131" s="14">
        <f>ROUNDUP(+MIN((15000*8*$J$6*IF('Span Table '!$T$5="Yes",2,1)*144)/(E$107*$B131*$J$103),(($B131/120)*48*144*10000000*$J$4*IF('Span Table '!$T$5="Yes",2,1)*2)/(E$107*$B131^3*$J$103)),0)</f>
        <v>22</v>
      </c>
      <c r="F131" s="14">
        <f>ROUNDUP(+MIN((15000*8*$J$6*IF('Span Table '!$T$5="Yes",2,1)*144)/(F$107*$B131*$J$103),(($B131/120)*48*144*10000000*$J$4*IF('Span Table '!$T$5="Yes",2,1)*2)/(F$107*$B131^3*$J$103)),0)</f>
        <v>21</v>
      </c>
      <c r="G131" s="14">
        <f>ROUNDUP(+MIN((15000*8*$J$6*IF('Span Table '!$T$5="Yes",2,1)*144)/(G$107*$B131*$J$103),(($B131/120)*48*144*10000000*$J$4*IF('Span Table '!$T$5="Yes",2,1)*2)/(G$107*$B131^3*$J$103)),0)</f>
        <v>20</v>
      </c>
      <c r="H131" s="14">
        <f>ROUNDUP(+MIN((15000*8*$J$6*IF('Span Table '!$T$5="Yes",2,1)*144)/(H$107*$B131*$J$103),(($B131/120)*48*144*10000000*$J$4*IF('Span Table '!$T$5="Yes",2,1)*2)/(H$107*$B131^3*$J$103)),0)</f>
        <v>19</v>
      </c>
      <c r="I131" s="14">
        <f>ROUNDUP(+MIN((15000*8*$J$6*IF('Span Table '!$T$5="Yes",2,1)*144)/(I$107*$B131*$J$103),(($B131/120)*48*144*10000000*$J$4*IF('Span Table '!$T$5="Yes",2,1)*2)/(I$107*$B131^3*$J$103)),0)</f>
        <v>18</v>
      </c>
      <c r="J131" s="14">
        <f>ROUNDUP(+MIN((15000*8*$J$6*IF('Span Table '!$T$5="Yes",2,1)*144)/(J$107*$B131*$J$103),(($B131/120)*48*144*10000000*$J$4*IF('Span Table '!$T$5="Yes",2,1)*2)/(J$107*$B131^3*$J$103)),0)</f>
        <v>18</v>
      </c>
      <c r="K131" s="14">
        <f>ROUNDUP(+MIN((15000*8*$J$6*IF('Span Table '!$T$5="Yes",2,1)*144)/(K$107*$B131*$J$103),(($B131/120)*48*144*10000000*$J$4*IF('Span Table '!$T$5="Yes",2,1)*2)/(K$107*$B131^3*$J$103)),0)</f>
        <v>17</v>
      </c>
      <c r="L131" s="25">
        <f t="shared" si="15"/>
        <v>234</v>
      </c>
      <c r="M131" s="37"/>
      <c r="N131" s="37"/>
      <c r="O131" s="37"/>
      <c r="P131" s="37"/>
      <c r="Q131" s="37"/>
      <c r="R131" s="37"/>
      <c r="S131" s="37"/>
      <c r="T131" s="37"/>
      <c r="U131" s="37"/>
      <c r="V131" s="37"/>
    </row>
    <row r="132" spans="1:22" ht="15.75" customHeight="1" thickBot="1" x14ac:dyDescent="0.3">
      <c r="A132" s="1"/>
      <c r="B132" s="25">
        <f t="shared" si="16"/>
        <v>156</v>
      </c>
      <c r="C132" s="14">
        <f>ROUNDUP(+MIN((15000*8*$J$6*IF('Span Table '!$T$5="Yes",2,1)*144)/(C$107*$B132*$J$103),(($B132/120)*48*144*10000000*$J$4*IF('Span Table '!$T$5="Yes",2,1)*2)/(C$107*$B132^3*$J$103)),0)</f>
        <v>25</v>
      </c>
      <c r="D132" s="14">
        <f>ROUNDUP(+MIN((15000*8*$J$6*IF('Span Table '!$T$5="Yes",2,1)*144)/(D$107*$B132*$J$103),(($B132/120)*48*144*10000000*$J$4*IF('Span Table '!$T$5="Yes",2,1)*2)/(D$107*$B132^3*$J$103)),0)</f>
        <v>24</v>
      </c>
      <c r="E132" s="14">
        <f>ROUNDUP(+MIN((15000*8*$J$6*IF('Span Table '!$T$5="Yes",2,1)*144)/(E$107*$B132*$J$103),(($B132/120)*48*144*10000000*$J$4*IF('Span Table '!$T$5="Yes",2,1)*2)/(E$107*$B132^3*$J$103)),0)</f>
        <v>22</v>
      </c>
      <c r="F132" s="14">
        <f>ROUNDUP(+MIN((15000*8*$J$6*IF('Span Table '!$T$5="Yes",2,1)*144)/(F$107*$B132*$J$103),(($B132/120)*48*144*10000000*$J$4*IF('Span Table '!$T$5="Yes",2,1)*2)/(F$107*$B132^3*$J$103)),0)</f>
        <v>22</v>
      </c>
      <c r="G132" s="14">
        <f>ROUNDUP(+MIN((15000*8*$J$6*IF('Span Table '!$T$5="Yes",2,1)*144)/(G$107*$B132*$J$103),(($B132/120)*48*144*10000000*$J$4*IF('Span Table '!$T$5="Yes",2,1)*2)/(G$107*$B132^3*$J$103)),0)</f>
        <v>21</v>
      </c>
      <c r="H132" s="14">
        <f>ROUNDUP(+MIN((15000*8*$J$6*IF('Span Table '!$T$5="Yes",2,1)*144)/(H$107*$B132*$J$103),(($B132/120)*48*144*10000000*$J$4*IF('Span Table '!$T$5="Yes",2,1)*2)/(H$107*$B132^3*$J$103)),0)</f>
        <v>20</v>
      </c>
      <c r="I132" s="14">
        <f>ROUNDUP(+MIN((15000*8*$J$6*IF('Span Table '!$T$5="Yes",2,1)*144)/(I$107*$B132*$J$103),(($B132/120)*48*144*10000000*$J$4*IF('Span Table '!$T$5="Yes",2,1)*2)/(I$107*$B132^3*$J$103)),0)</f>
        <v>19</v>
      </c>
      <c r="J132" s="14">
        <f>ROUNDUP(+MIN((15000*8*$J$6*IF('Span Table '!$T$5="Yes",2,1)*144)/(J$107*$B132*$J$103),(($B132/120)*48*144*10000000*$J$4*IF('Span Table '!$T$5="Yes",2,1)*2)/(J$107*$B132^3*$J$103)),0)</f>
        <v>18</v>
      </c>
      <c r="K132" s="14">
        <f>ROUNDUP(+MIN((15000*8*$J$6*IF('Span Table '!$T$5="Yes",2,1)*144)/(K$107*$B132*$J$103),(($B132/120)*48*144*10000000*$J$4*IF('Span Table '!$T$5="Yes",2,1)*2)/(K$107*$B132^3*$J$103)),0)</f>
        <v>18</v>
      </c>
      <c r="L132" s="25">
        <f t="shared" si="15"/>
        <v>240</v>
      </c>
      <c r="M132" s="37"/>
      <c r="N132" s="37"/>
      <c r="O132" s="37"/>
      <c r="P132" s="37"/>
      <c r="Q132" s="37"/>
      <c r="R132" s="37"/>
      <c r="S132" s="37"/>
      <c r="T132" s="37"/>
      <c r="U132" s="37"/>
      <c r="V132" s="37"/>
    </row>
    <row r="133" spans="1:22" ht="15.75" customHeight="1" thickBot="1" x14ac:dyDescent="0.3">
      <c r="A133" s="1"/>
      <c r="B133" s="25">
        <f t="shared" si="16"/>
        <v>150</v>
      </c>
      <c r="C133" s="14">
        <f>ROUNDUP(+MIN((15000*8*$J$6*IF('Span Table '!$T$5="Yes",2,1)*144)/(C$107*$B133*$J$103),(($B133/120)*48*144*10000000*$J$4*IF('Span Table '!$T$5="Yes",2,1)*2)/(C$107*$B133^3*$J$103)),0)</f>
        <v>26</v>
      </c>
      <c r="D133" s="14">
        <f>ROUNDUP(+MIN((15000*8*$J$6*IF('Span Table '!$T$5="Yes",2,1)*144)/(D$107*$B133*$J$103),(($B133/120)*48*144*10000000*$J$4*IF('Span Table '!$T$5="Yes",2,1)*2)/(D$107*$B133^3*$J$103)),0)</f>
        <v>24</v>
      </c>
      <c r="E133" s="14">
        <f>ROUNDUP(+MIN((15000*8*$J$6*IF('Span Table '!$T$5="Yes",2,1)*144)/(E$107*$B133*$J$103),(($B133/120)*48*144*10000000*$J$4*IF('Span Table '!$T$5="Yes",2,1)*2)/(E$107*$B133^3*$J$103)),0)</f>
        <v>23</v>
      </c>
      <c r="F133" s="14">
        <f>ROUNDUP(+MIN((15000*8*$J$6*IF('Span Table '!$T$5="Yes",2,1)*144)/(F$107*$B133*$J$103),(($B133/120)*48*144*10000000*$J$4*IF('Span Table '!$T$5="Yes",2,1)*2)/(F$107*$B133^3*$J$103)),0)</f>
        <v>22</v>
      </c>
      <c r="G133" s="14">
        <f>ROUNDUP(+MIN((15000*8*$J$6*IF('Span Table '!$T$5="Yes",2,1)*144)/(G$107*$B133*$J$103),(($B133/120)*48*144*10000000*$J$4*IF('Span Table '!$T$5="Yes",2,1)*2)/(G$107*$B133^3*$J$103)),0)</f>
        <v>21</v>
      </c>
      <c r="H133" s="14">
        <f>ROUNDUP(+MIN((15000*8*$J$6*IF('Span Table '!$T$5="Yes",2,1)*144)/(H$107*$B133*$J$103),(($B133/120)*48*144*10000000*$J$4*IF('Span Table '!$T$5="Yes",2,1)*2)/(H$107*$B133^3*$J$103)),0)</f>
        <v>21</v>
      </c>
      <c r="I133" s="14">
        <f>ROUNDUP(+MIN((15000*8*$J$6*IF('Span Table '!$T$5="Yes",2,1)*144)/(I$107*$B133*$J$103),(($B133/120)*48*144*10000000*$J$4*IF('Span Table '!$T$5="Yes",2,1)*2)/(I$107*$B133^3*$J$103)),0)</f>
        <v>20</v>
      </c>
      <c r="J133" s="14">
        <f>ROUNDUP(+MIN((15000*8*$J$6*IF('Span Table '!$T$5="Yes",2,1)*144)/(J$107*$B133*$J$103),(($B133/120)*48*144*10000000*$J$4*IF('Span Table '!$T$5="Yes",2,1)*2)/(J$107*$B133^3*$J$103)),0)</f>
        <v>19</v>
      </c>
      <c r="K133" s="14">
        <f>ROUNDUP(+MIN((15000*8*$J$6*IF('Span Table '!$T$5="Yes",2,1)*144)/(K$107*$B133*$J$103),(($B133/120)*48*144*10000000*$J$4*IF('Span Table '!$T$5="Yes",2,1)*2)/(K$107*$B133^3*$J$103)),0)</f>
        <v>18</v>
      </c>
      <c r="L133" s="25">
        <f t="shared" si="15"/>
        <v>246</v>
      </c>
      <c r="M133" s="37"/>
      <c r="N133" s="37"/>
      <c r="O133" s="37"/>
      <c r="P133" s="37"/>
      <c r="Q133" s="37"/>
      <c r="R133" s="37"/>
      <c r="S133" s="37"/>
      <c r="T133" s="37"/>
      <c r="U133" s="37"/>
      <c r="V133" s="37"/>
    </row>
    <row r="134" spans="1:22" ht="15.75" customHeight="1" thickBot="1" x14ac:dyDescent="0.3">
      <c r="A134" s="1"/>
      <c r="B134" s="25">
        <f t="shared" si="16"/>
        <v>144</v>
      </c>
      <c r="C134" s="14">
        <f>ROUNDUP(+MIN((15000*8*$J$6*IF('Span Table '!$T$5="Yes",2,1)*144)/(C$107*$B134*$J$103),(($B134/120)*48*144*10000000*$J$4*IF('Span Table '!$T$5="Yes",2,1)*2)/(C$107*$B134^3*$J$103)),0)</f>
        <v>27</v>
      </c>
      <c r="D134" s="14">
        <f>ROUNDUP(+MIN((15000*8*$J$6*IF('Span Table '!$T$5="Yes",2,1)*144)/(D$107*$B134*$J$103),(($B134/120)*48*144*10000000*$J$4*IF('Span Table '!$T$5="Yes",2,1)*2)/(D$107*$B134^3*$J$103)),0)</f>
        <v>25</v>
      </c>
      <c r="E134" s="14">
        <f>ROUNDUP(+MIN((15000*8*$J$6*IF('Span Table '!$T$5="Yes",2,1)*144)/(E$107*$B134*$J$103),(($B134/120)*48*144*10000000*$J$4*IF('Span Table '!$T$5="Yes",2,1)*2)/(E$107*$B134^3*$J$103)),0)</f>
        <v>24</v>
      </c>
      <c r="F134" s="14">
        <f>ROUNDUP(+MIN((15000*8*$J$6*IF('Span Table '!$T$5="Yes",2,1)*144)/(F$107*$B134*$J$103),(($B134/120)*48*144*10000000*$J$4*IF('Span Table '!$T$5="Yes",2,1)*2)/(F$107*$B134^3*$J$103)),0)</f>
        <v>23</v>
      </c>
      <c r="G134" s="14">
        <f>ROUNDUP(+MIN((15000*8*$J$6*IF('Span Table '!$T$5="Yes",2,1)*144)/(G$107*$B134*$J$103),(($B134/120)*48*144*10000000*$J$4*IF('Span Table '!$T$5="Yes",2,1)*2)/(G$107*$B134^3*$J$103)),0)</f>
        <v>22</v>
      </c>
      <c r="H134" s="14">
        <f>ROUNDUP(+MIN((15000*8*$J$6*IF('Span Table '!$T$5="Yes",2,1)*144)/(H$107*$B134*$J$103),(($B134/120)*48*144*10000000*$J$4*IF('Span Table '!$T$5="Yes",2,1)*2)/(H$107*$B134^3*$J$103)),0)</f>
        <v>21</v>
      </c>
      <c r="I134" s="14">
        <f>ROUNDUP(+MIN((15000*8*$J$6*IF('Span Table '!$T$5="Yes",2,1)*144)/(I$107*$B134*$J$103),(($B134/120)*48*144*10000000*$J$4*IF('Span Table '!$T$5="Yes",2,1)*2)/(I$107*$B134^3*$J$103)),0)</f>
        <v>21</v>
      </c>
      <c r="J134" s="14">
        <f>ROUNDUP(+MIN((15000*8*$J$6*IF('Span Table '!$T$5="Yes",2,1)*144)/(J$107*$B134*$J$103),(($B134/120)*48*144*10000000*$J$4*IF('Span Table '!$T$5="Yes",2,1)*2)/(J$107*$B134^3*$J$103)),0)</f>
        <v>20</v>
      </c>
      <c r="K134" s="14">
        <f>ROUNDUP(+MIN((15000*8*$J$6*IF('Span Table '!$T$5="Yes",2,1)*144)/(K$107*$B134*$J$103),(($B134/120)*48*144*10000000*$J$4*IF('Span Table '!$T$5="Yes",2,1)*2)/(K$107*$B134^3*$J$103)),0)</f>
        <v>19</v>
      </c>
      <c r="L134" s="25">
        <f t="shared" si="15"/>
        <v>252</v>
      </c>
      <c r="M134" s="37"/>
      <c r="N134" s="37"/>
      <c r="O134" s="37"/>
      <c r="P134" s="37"/>
      <c r="Q134" s="37"/>
      <c r="R134" s="37"/>
      <c r="S134" s="37"/>
      <c r="T134" s="37"/>
      <c r="U134" s="37"/>
      <c r="V134" s="37"/>
    </row>
    <row r="135" spans="1:22" ht="15.75" customHeight="1" thickBot="1" x14ac:dyDescent="0.3">
      <c r="A135" s="1"/>
      <c r="B135" s="25">
        <f t="shared" si="16"/>
        <v>138</v>
      </c>
      <c r="C135" s="14">
        <f>ROUNDUP(+MIN((15000*8*$J$6*IF('Span Table '!$T$5="Yes",2,1)*144)/(C$107*$B135*$J$103),(($B135/120)*48*144*10000000*$J$4*IF('Span Table '!$T$5="Yes",2,1)*2)/(C$107*$B135^3*$J$103)),0)</f>
        <v>28</v>
      </c>
      <c r="D135" s="14">
        <f>ROUNDUP(+MIN((15000*8*$J$6*IF('Span Table '!$T$5="Yes",2,1)*144)/(D$107*$B135*$J$103),(($B135/120)*48*144*10000000*$J$4*IF('Span Table '!$T$5="Yes",2,1)*2)/(D$107*$B135^3*$J$103)),0)</f>
        <v>27</v>
      </c>
      <c r="E135" s="14">
        <f>ROUNDUP(+MIN((15000*8*$J$6*IF('Span Table '!$T$5="Yes",2,1)*144)/(E$107*$B135*$J$103),(($B135/120)*48*144*10000000*$J$4*IF('Span Table '!$T$5="Yes",2,1)*2)/(E$107*$B135^3*$J$103)),0)</f>
        <v>25</v>
      </c>
      <c r="F135" s="14">
        <f>ROUNDUP(+MIN((15000*8*$J$6*IF('Span Table '!$T$5="Yes",2,1)*144)/(F$107*$B135*$J$103),(($B135/120)*48*144*10000000*$J$4*IF('Span Table '!$T$5="Yes",2,1)*2)/(F$107*$B135^3*$J$103)),0)</f>
        <v>24</v>
      </c>
      <c r="G135" s="14">
        <f>ROUNDUP(+MIN((15000*8*$J$6*IF('Span Table '!$T$5="Yes",2,1)*144)/(G$107*$B135*$J$103),(($B135/120)*48*144*10000000*$J$4*IF('Span Table '!$T$5="Yes",2,1)*2)/(G$107*$B135^3*$J$103)),0)</f>
        <v>23</v>
      </c>
      <c r="H135" s="14">
        <f>ROUNDUP(+MIN((15000*8*$J$6*IF('Span Table '!$T$5="Yes",2,1)*144)/(H$107*$B135*$J$103),(($B135/120)*48*144*10000000*$J$4*IF('Span Table '!$T$5="Yes",2,1)*2)/(H$107*$B135^3*$J$103)),0)</f>
        <v>22</v>
      </c>
      <c r="I135" s="14">
        <f>ROUNDUP(+MIN((15000*8*$J$6*IF('Span Table '!$T$5="Yes",2,1)*144)/(I$107*$B135*$J$103),(($B135/120)*48*144*10000000*$J$4*IF('Span Table '!$T$5="Yes",2,1)*2)/(I$107*$B135^3*$J$103)),0)</f>
        <v>21</v>
      </c>
      <c r="J135" s="14">
        <f>ROUNDUP(+MIN((15000*8*$J$6*IF('Span Table '!$T$5="Yes",2,1)*144)/(J$107*$B135*$J$103),(($B135/120)*48*144*10000000*$J$4*IF('Span Table '!$T$5="Yes",2,1)*2)/(J$107*$B135^3*$J$103)),0)</f>
        <v>21</v>
      </c>
      <c r="K135" s="14">
        <f>ROUNDUP(+MIN((15000*8*$J$6*IF('Span Table '!$T$5="Yes",2,1)*144)/(K$107*$B135*$J$103),(($B135/120)*48*144*10000000*$J$4*IF('Span Table '!$T$5="Yes",2,1)*2)/(K$107*$B135^3*$J$103)),0)</f>
        <v>20</v>
      </c>
      <c r="L135" s="25">
        <f t="shared" si="15"/>
        <v>258</v>
      </c>
      <c r="M135" s="37"/>
      <c r="N135" s="37"/>
      <c r="O135" s="37"/>
      <c r="P135" s="37"/>
      <c r="Q135" s="37"/>
      <c r="R135" s="37"/>
      <c r="S135" s="37"/>
      <c r="T135" s="37"/>
      <c r="U135" s="37"/>
      <c r="V135" s="37"/>
    </row>
    <row r="136" spans="1:22" ht="15.75" customHeight="1" thickBot="1" x14ac:dyDescent="0.3">
      <c r="A136" s="1"/>
      <c r="B136" s="25">
        <f t="shared" si="16"/>
        <v>132</v>
      </c>
      <c r="C136" s="14">
        <f>ROUNDUP(+MIN((15000*8*$J$6*IF('Span Table '!$T$5="Yes",2,1)*144)/(C$107*$B136*$J$103),(($B136/120)*48*144*10000000*$J$4*IF('Span Table '!$T$5="Yes",2,1)*2)/(C$107*$B136^3*$J$103)),0)</f>
        <v>29</v>
      </c>
      <c r="D136" s="14">
        <f>ROUNDUP(+MIN((15000*8*$J$6*IF('Span Table '!$T$5="Yes",2,1)*144)/(D$107*$B136*$J$103),(($B136/120)*48*144*10000000*$J$4*IF('Span Table '!$T$5="Yes",2,1)*2)/(D$107*$B136^3*$J$103)),0)</f>
        <v>28</v>
      </c>
      <c r="E136" s="14">
        <f>ROUNDUP(+MIN((15000*8*$J$6*IF('Span Table '!$T$5="Yes",2,1)*144)/(E$107*$B136*$J$103),(($B136/120)*48*144*10000000*$J$4*IF('Span Table '!$T$5="Yes",2,1)*2)/(E$107*$B136^3*$J$103)),0)</f>
        <v>26</v>
      </c>
      <c r="F136" s="14">
        <f>ROUNDUP(+MIN((15000*8*$J$6*IF('Span Table '!$T$5="Yes",2,1)*144)/(F$107*$B136*$J$103),(($B136/120)*48*144*10000000*$J$4*IF('Span Table '!$T$5="Yes",2,1)*2)/(F$107*$B136^3*$J$103)),0)</f>
        <v>25</v>
      </c>
      <c r="G136" s="14">
        <f>ROUNDUP(+MIN((15000*8*$J$6*IF('Span Table '!$T$5="Yes",2,1)*144)/(G$107*$B136*$J$103),(($B136/120)*48*144*10000000*$J$4*IF('Span Table '!$T$5="Yes",2,1)*2)/(G$107*$B136^3*$J$103)),0)</f>
        <v>24</v>
      </c>
      <c r="H136" s="14">
        <f>ROUNDUP(+MIN((15000*8*$J$6*IF('Span Table '!$T$5="Yes",2,1)*144)/(H$107*$B136*$J$103),(($B136/120)*48*144*10000000*$J$4*IF('Span Table '!$T$5="Yes",2,1)*2)/(H$107*$B136^3*$J$103)),0)</f>
        <v>23</v>
      </c>
      <c r="I136" s="14">
        <f>ROUNDUP(+MIN((15000*8*$J$6*IF('Span Table '!$T$5="Yes",2,1)*144)/(I$107*$B136*$J$103),(($B136/120)*48*144*10000000*$J$4*IF('Span Table '!$T$5="Yes",2,1)*2)/(I$107*$B136^3*$J$103)),0)</f>
        <v>22</v>
      </c>
      <c r="J136" s="14">
        <f>ROUNDUP(+MIN((15000*8*$J$6*IF('Span Table '!$T$5="Yes",2,1)*144)/(J$107*$B136*$J$103),(($B136/120)*48*144*10000000*$J$4*IF('Span Table '!$T$5="Yes",2,1)*2)/(J$107*$B136^3*$J$103)),0)</f>
        <v>22</v>
      </c>
      <c r="K136" s="14">
        <f>ROUNDUP(+MIN((15000*8*$J$6*IF('Span Table '!$T$5="Yes",2,1)*144)/(K$107*$B136*$J$103),(($B136/120)*48*144*10000000*$J$4*IF('Span Table '!$T$5="Yes",2,1)*2)/(K$107*$B136^3*$J$103)),0)</f>
        <v>21</v>
      </c>
      <c r="L136" s="25">
        <f t="shared" si="15"/>
        <v>264</v>
      </c>
      <c r="M136" s="37"/>
      <c r="N136" s="37"/>
      <c r="O136" s="37"/>
      <c r="P136" s="37"/>
      <c r="Q136" s="37"/>
      <c r="R136" s="37"/>
      <c r="S136" s="37"/>
      <c r="T136" s="37"/>
      <c r="U136" s="37"/>
      <c r="V136" s="37"/>
    </row>
    <row r="137" spans="1:22" ht="15.75" customHeight="1" thickBot="1" x14ac:dyDescent="0.3">
      <c r="A137" s="1"/>
      <c r="B137" s="25">
        <f t="shared" si="16"/>
        <v>126</v>
      </c>
      <c r="C137" s="14">
        <f>ROUNDUP(+MIN((15000*8*$J$6*IF('Span Table '!$T$5="Yes",2,1)*144)/(C$107*$B137*$J$103),(($B137/120)*48*144*10000000*$J$4*IF('Span Table '!$T$5="Yes",2,1)*2)/(C$107*$B137^3*$J$103)),0)</f>
        <v>30</v>
      </c>
      <c r="D137" s="14">
        <f>ROUNDUP(+MIN((15000*8*$J$6*IF('Span Table '!$T$5="Yes",2,1)*144)/(D$107*$B137*$J$103),(($B137/120)*48*144*10000000*$J$4*IF('Span Table '!$T$5="Yes",2,1)*2)/(D$107*$B137^3*$J$103)),0)</f>
        <v>29</v>
      </c>
      <c r="E137" s="14">
        <f>ROUNDUP(+MIN((15000*8*$J$6*IF('Span Table '!$T$5="Yes",2,1)*144)/(E$107*$B137*$J$103),(($B137/120)*48*144*10000000*$J$4*IF('Span Table '!$T$5="Yes",2,1)*2)/(E$107*$B137^3*$J$103)),0)</f>
        <v>28</v>
      </c>
      <c r="F137" s="14">
        <f>ROUNDUP(+MIN((15000*8*$J$6*IF('Span Table '!$T$5="Yes",2,1)*144)/(F$107*$B137*$J$103),(($B137/120)*48*144*10000000*$J$4*IF('Span Table '!$T$5="Yes",2,1)*2)/(F$107*$B137^3*$J$103)),0)</f>
        <v>27</v>
      </c>
      <c r="G137" s="14">
        <f>ROUNDUP(+MIN((15000*8*$J$6*IF('Span Table '!$T$5="Yes",2,1)*144)/(G$107*$B137*$J$103),(($B137/120)*48*144*10000000*$J$4*IF('Span Table '!$T$5="Yes",2,1)*2)/(G$107*$B137^3*$J$103)),0)</f>
        <v>25</v>
      </c>
      <c r="H137" s="14">
        <f>ROUNDUP(+MIN((15000*8*$J$6*IF('Span Table '!$T$5="Yes",2,1)*144)/(H$107*$B137*$J$103),(($B137/120)*48*144*10000000*$J$4*IF('Span Table '!$T$5="Yes",2,1)*2)/(H$107*$B137^3*$J$103)),0)</f>
        <v>24</v>
      </c>
      <c r="I137" s="14">
        <f>ROUNDUP(+MIN((15000*8*$J$6*IF('Span Table '!$T$5="Yes",2,1)*144)/(I$107*$B137*$J$103),(($B137/120)*48*144*10000000*$J$4*IF('Span Table '!$T$5="Yes",2,1)*2)/(I$107*$B137^3*$J$103)),0)</f>
        <v>23</v>
      </c>
      <c r="J137" s="14">
        <f>ROUNDUP(+MIN((15000*8*$J$6*IF('Span Table '!$T$5="Yes",2,1)*144)/(J$107*$B137*$J$103),(($B137/120)*48*144*10000000*$J$4*IF('Span Table '!$T$5="Yes",2,1)*2)/(J$107*$B137^3*$J$103)),0)</f>
        <v>23</v>
      </c>
      <c r="K137" s="14">
        <f>ROUNDUP(+MIN((15000*8*$J$6*IF('Span Table '!$T$5="Yes",2,1)*144)/(K$107*$B137*$J$103),(($B137/120)*48*144*10000000*$J$4*IF('Span Table '!$T$5="Yes",2,1)*2)/(K$107*$B137^3*$J$103)),0)</f>
        <v>22</v>
      </c>
      <c r="L137" s="25">
        <f t="shared" si="15"/>
        <v>270</v>
      </c>
      <c r="M137" s="37"/>
      <c r="N137" s="37"/>
      <c r="O137" s="37"/>
      <c r="P137" s="37"/>
      <c r="Q137" s="37"/>
      <c r="R137" s="37"/>
      <c r="S137" s="37"/>
      <c r="T137" s="37"/>
      <c r="U137" s="37"/>
      <c r="V137" s="37"/>
    </row>
    <row r="138" spans="1:22" ht="15.75" customHeight="1" thickBot="1" x14ac:dyDescent="0.3">
      <c r="A138" s="1"/>
      <c r="B138" s="25">
        <f t="shared" si="16"/>
        <v>120</v>
      </c>
      <c r="C138" s="14">
        <f>ROUNDUP(+MIN((15000*8*$J$6*IF('Span Table '!$T$5="Yes",2,1)*144)/(C$107*$B138*$J$103),(($B138/120)*48*144*10000000*$J$4*IF('Span Table '!$T$5="Yes",2,1)*2)/(C$107*$B138^3*$J$103)),0)</f>
        <v>32</v>
      </c>
      <c r="D138" s="14">
        <f>ROUNDUP(+MIN((15000*8*$J$6*IF('Span Table '!$T$5="Yes",2,1)*144)/(D$107*$B138*$J$103),(($B138/120)*48*144*10000000*$J$4*IF('Span Table '!$T$5="Yes",2,1)*2)/(D$107*$B138^3*$J$103)),0)</f>
        <v>30</v>
      </c>
      <c r="E138" s="14">
        <f>ROUNDUP(+MIN((15000*8*$J$6*IF('Span Table '!$T$5="Yes",2,1)*144)/(E$107*$B138*$J$103),(($B138/120)*48*144*10000000*$J$4*IF('Span Table '!$T$5="Yes",2,1)*2)/(E$107*$B138^3*$J$103)),0)</f>
        <v>29</v>
      </c>
      <c r="F138" s="14">
        <f>ROUNDUP(+MIN((15000*8*$J$6*IF('Span Table '!$T$5="Yes",2,1)*144)/(F$107*$B138*$J$103),(($B138/120)*48*144*10000000*$J$4*IF('Span Table '!$T$5="Yes",2,1)*2)/(F$107*$B138^3*$J$103)),0)</f>
        <v>28</v>
      </c>
      <c r="G138" s="14">
        <f>ROUNDUP(+MIN((15000*8*$J$6*IF('Span Table '!$T$5="Yes",2,1)*144)/(G$107*$B138*$J$103),(($B138/120)*48*144*10000000*$J$4*IF('Span Table '!$T$5="Yes",2,1)*2)/(G$107*$B138^3*$J$103)),0)</f>
        <v>27</v>
      </c>
      <c r="H138" s="14">
        <f>ROUNDUP(+MIN((15000*8*$J$6*IF('Span Table '!$T$5="Yes",2,1)*144)/(H$107*$B138*$J$103),(($B138/120)*48*144*10000000*$J$4*IF('Span Table '!$T$5="Yes",2,1)*2)/(H$107*$B138^3*$J$103)),0)</f>
        <v>26</v>
      </c>
      <c r="I138" s="14">
        <f>ROUNDUP(+MIN((15000*8*$J$6*IF('Span Table '!$T$5="Yes",2,1)*144)/(I$107*$B138*$J$103),(($B138/120)*48*144*10000000*$J$4*IF('Span Table '!$T$5="Yes",2,1)*2)/(I$107*$B138^3*$J$103)),0)</f>
        <v>25</v>
      </c>
      <c r="J138" s="14">
        <f>ROUNDUP(+MIN((15000*8*$J$6*IF('Span Table '!$T$5="Yes",2,1)*144)/(J$107*$B138*$J$103),(($B138/120)*48*144*10000000*$J$4*IF('Span Table '!$T$5="Yes",2,1)*2)/(J$107*$B138^3*$J$103)),0)</f>
        <v>24</v>
      </c>
      <c r="K138" s="14">
        <f>ROUNDUP(+MIN((15000*8*$J$6*IF('Span Table '!$T$5="Yes",2,1)*144)/(K$107*$B138*$J$103),(($B138/120)*48*144*10000000*$J$4*IF('Span Table '!$T$5="Yes",2,1)*2)/(K$107*$B138^3*$J$103)),0)</f>
        <v>23</v>
      </c>
      <c r="L138" s="25">
        <f t="shared" si="15"/>
        <v>276</v>
      </c>
      <c r="M138" s="37"/>
      <c r="N138" s="37"/>
      <c r="O138" s="37"/>
      <c r="P138" s="37"/>
      <c r="Q138" s="37"/>
      <c r="R138" s="37"/>
      <c r="S138" s="37"/>
      <c r="T138" s="37"/>
      <c r="U138" s="37"/>
      <c r="V138" s="37"/>
    </row>
    <row r="139" spans="1:22" ht="15.75" customHeight="1" thickBot="1" x14ac:dyDescent="0.3">
      <c r="A139" s="1"/>
      <c r="B139" s="25">
        <f t="shared" si="16"/>
        <v>114</v>
      </c>
      <c r="C139" s="14">
        <f>ROUNDUP(+MIN((15000*8*$J$6*IF('Span Table '!$T$5="Yes",2,1)*144)/(C$107*$B139*$J$103),(($B139/120)*48*144*10000000*$J$4*IF('Span Table '!$T$5="Yes",2,1)*2)/(C$107*$B139^3*$J$103)),0)</f>
        <v>34</v>
      </c>
      <c r="D139" s="14">
        <f>ROUNDUP(+MIN((15000*8*$J$6*IF('Span Table '!$T$5="Yes",2,1)*144)/(D$107*$B139*$J$103),(($B139/120)*48*144*10000000*$J$4*IF('Span Table '!$T$5="Yes",2,1)*2)/(D$107*$B139^3*$J$103)),0)</f>
        <v>32</v>
      </c>
      <c r="E139" s="14">
        <f>ROUNDUP(+MIN((15000*8*$J$6*IF('Span Table '!$T$5="Yes",2,1)*144)/(E$107*$B139*$J$103),(($B139/120)*48*144*10000000*$J$4*IF('Span Table '!$T$5="Yes",2,1)*2)/(E$107*$B139^3*$J$103)),0)</f>
        <v>31</v>
      </c>
      <c r="F139" s="14">
        <f>ROUNDUP(+MIN((15000*8*$J$6*IF('Span Table '!$T$5="Yes",2,1)*144)/(F$107*$B139*$J$103),(($B139/120)*48*144*10000000*$J$4*IF('Span Table '!$T$5="Yes",2,1)*2)/(F$107*$B139^3*$J$103)),0)</f>
        <v>29</v>
      </c>
      <c r="G139" s="14">
        <f>ROUNDUP(+MIN((15000*8*$J$6*IF('Span Table '!$T$5="Yes",2,1)*144)/(G$107*$B139*$J$103),(($B139/120)*48*144*10000000*$J$4*IF('Span Table '!$T$5="Yes",2,1)*2)/(G$107*$B139^3*$J$103)),0)</f>
        <v>28</v>
      </c>
      <c r="H139" s="14">
        <f>ROUNDUP(+MIN((15000*8*$J$6*IF('Span Table '!$T$5="Yes",2,1)*144)/(H$107*$B139*$J$103),(($B139/120)*48*144*10000000*$J$4*IF('Span Table '!$T$5="Yes",2,1)*2)/(H$107*$B139^3*$J$103)),0)</f>
        <v>27</v>
      </c>
      <c r="I139" s="14">
        <f>ROUNDUP(+MIN((15000*8*$J$6*IF('Span Table '!$T$5="Yes",2,1)*144)/(I$107*$B139*$J$103),(($B139/120)*48*144*10000000*$J$4*IF('Span Table '!$T$5="Yes",2,1)*2)/(I$107*$B139^3*$J$103)),0)</f>
        <v>26</v>
      </c>
      <c r="J139" s="14">
        <f>ROUNDUP(+MIN((15000*8*$J$6*IF('Span Table '!$T$5="Yes",2,1)*144)/(J$107*$B139*$J$103),(($B139/120)*48*144*10000000*$J$4*IF('Span Table '!$T$5="Yes",2,1)*2)/(J$107*$B139^3*$J$103)),0)</f>
        <v>25</v>
      </c>
      <c r="K139" s="14">
        <f>ROUNDUP(+MIN((15000*8*$J$6*IF('Span Table '!$T$5="Yes",2,1)*144)/(K$107*$B139*$J$103),(($B139/120)*48*144*10000000*$J$4*IF('Span Table '!$T$5="Yes",2,1)*2)/(K$107*$B139^3*$J$103)),0)</f>
        <v>24</v>
      </c>
      <c r="L139" s="25">
        <f t="shared" si="15"/>
        <v>282</v>
      </c>
      <c r="M139" s="37"/>
      <c r="N139" s="37"/>
      <c r="O139" s="37"/>
      <c r="P139" s="37"/>
      <c r="Q139" s="37"/>
      <c r="R139" s="37"/>
      <c r="S139" s="37"/>
      <c r="T139" s="37"/>
      <c r="U139" s="37"/>
      <c r="V139" s="37"/>
    </row>
    <row r="140" spans="1:22" ht="15.75" customHeight="1" thickBot="1" x14ac:dyDescent="0.3">
      <c r="A140" s="1"/>
      <c r="B140" s="25">
        <f t="shared" si="16"/>
        <v>108</v>
      </c>
      <c r="C140" s="14">
        <f>ROUNDUP(+MIN((15000*8*$J$6*IF('Span Table '!$T$5="Yes",2,1)*144)/(C$107*$B140*$J$103),(($B140/120)*48*144*10000000*$J$4*IF('Span Table '!$T$5="Yes",2,1)*2)/(C$107*$B140^3*$J$103)),0)</f>
        <v>35</v>
      </c>
      <c r="D140" s="14">
        <f>ROUNDUP(+MIN((15000*8*$J$6*IF('Span Table '!$T$5="Yes",2,1)*144)/(D$107*$B140*$J$103),(($B140/120)*48*144*10000000*$J$4*IF('Span Table '!$T$5="Yes",2,1)*2)/(D$107*$B140^3*$J$103)),0)</f>
        <v>34</v>
      </c>
      <c r="E140" s="14">
        <f>ROUNDUP(+MIN((15000*8*$J$6*IF('Span Table '!$T$5="Yes",2,1)*144)/(E$107*$B140*$J$103),(($B140/120)*48*144*10000000*$J$4*IF('Span Table '!$T$5="Yes",2,1)*2)/(E$107*$B140^3*$J$103)),0)</f>
        <v>32</v>
      </c>
      <c r="F140" s="14">
        <f>ROUNDUP(+MIN((15000*8*$J$6*IF('Span Table '!$T$5="Yes",2,1)*144)/(F$107*$B140*$J$103),(($B140/120)*48*144*10000000*$J$4*IF('Span Table '!$T$5="Yes",2,1)*2)/(F$107*$B140^3*$J$103)),0)</f>
        <v>31</v>
      </c>
      <c r="G140" s="14">
        <f>ROUNDUP(+MIN((15000*8*$J$6*IF('Span Table '!$T$5="Yes",2,1)*144)/(G$107*$B140*$J$103),(($B140/120)*48*144*10000000*$J$4*IF('Span Table '!$T$5="Yes",2,1)*2)/(G$107*$B140^3*$J$103)),0)</f>
        <v>30</v>
      </c>
      <c r="H140" s="14">
        <f>ROUNDUP(+MIN((15000*8*$J$6*IF('Span Table '!$T$5="Yes",2,1)*144)/(H$107*$B140*$J$103),(($B140/120)*48*144*10000000*$J$4*IF('Span Table '!$T$5="Yes",2,1)*2)/(H$107*$B140^3*$J$103)),0)</f>
        <v>28</v>
      </c>
      <c r="I140" s="14">
        <f>ROUNDUP(+MIN((15000*8*$J$6*IF('Span Table '!$T$5="Yes",2,1)*144)/(I$107*$B140*$J$103),(($B140/120)*48*144*10000000*$J$4*IF('Span Table '!$T$5="Yes",2,1)*2)/(I$107*$B140^3*$J$103)),0)</f>
        <v>27</v>
      </c>
      <c r="J140" s="14">
        <f>ROUNDUP(+MIN((15000*8*$J$6*IF('Span Table '!$T$5="Yes",2,1)*144)/(J$107*$B140*$J$103),(($B140/120)*48*144*10000000*$J$4*IF('Span Table '!$T$5="Yes",2,1)*2)/(J$107*$B140^3*$J$103)),0)</f>
        <v>26</v>
      </c>
      <c r="K140" s="14">
        <f>ROUNDUP(+MIN((15000*8*$J$6*IF('Span Table '!$T$5="Yes",2,1)*144)/(K$107*$B140*$J$103),(($B140/120)*48*144*10000000*$J$4*IF('Span Table '!$T$5="Yes",2,1)*2)/(K$107*$B140^3*$J$103)),0)</f>
        <v>25</v>
      </c>
      <c r="L140" s="25">
        <f t="shared" si="15"/>
        <v>288</v>
      </c>
      <c r="M140" s="37"/>
      <c r="N140" s="37"/>
      <c r="O140" s="37"/>
      <c r="P140" s="37"/>
      <c r="Q140" s="37"/>
      <c r="R140" s="37"/>
      <c r="S140" s="37"/>
      <c r="T140" s="37"/>
      <c r="U140" s="37"/>
      <c r="V140" s="37"/>
    </row>
    <row r="141" spans="1:22" ht="15.75" customHeight="1" thickBot="1" x14ac:dyDescent="0.3">
      <c r="A141" s="1"/>
      <c r="B141" s="25">
        <f t="shared" si="16"/>
        <v>102</v>
      </c>
      <c r="C141" s="14">
        <f>ROUNDUP(+MIN((15000*8*$J$6*IF('Span Table '!$T$5="Yes",2,1)*144)/(C$107*$B141*$J$103),(($B141/120)*48*144*10000000*$J$4*IF('Span Table '!$T$5="Yes",2,1)*2)/(C$107*$B141^3*$J$103)),0)</f>
        <v>38</v>
      </c>
      <c r="D141" s="14">
        <f>ROUNDUP(+MIN((15000*8*$J$6*IF('Span Table '!$T$5="Yes",2,1)*144)/(D$107*$B141*$J$103),(($B141/120)*48*144*10000000*$J$4*IF('Span Table '!$T$5="Yes",2,1)*2)/(D$107*$B141^3*$J$103)),0)</f>
        <v>36</v>
      </c>
      <c r="E141" s="14">
        <f>ROUNDUP(+MIN((15000*8*$J$6*IF('Span Table '!$T$5="Yes",2,1)*144)/(E$107*$B141*$J$103),(($B141/120)*48*144*10000000*$J$4*IF('Span Table '!$T$5="Yes",2,1)*2)/(E$107*$B141^3*$J$103)),0)</f>
        <v>34</v>
      </c>
      <c r="F141" s="14">
        <f>ROUNDUP(+MIN((15000*8*$J$6*IF('Span Table '!$T$5="Yes",2,1)*144)/(F$107*$B141*$J$103),(($B141/120)*48*144*10000000*$J$4*IF('Span Table '!$T$5="Yes",2,1)*2)/(F$107*$B141^3*$J$103)),0)</f>
        <v>33</v>
      </c>
      <c r="G141" s="14">
        <f>ROUNDUP(+MIN((15000*8*$J$6*IF('Span Table '!$T$5="Yes",2,1)*144)/(G$107*$B141*$J$103),(($B141/120)*48*144*10000000*$J$4*IF('Span Table '!$T$5="Yes",2,1)*2)/(G$107*$B141^3*$J$103)),0)</f>
        <v>31</v>
      </c>
      <c r="H141" s="14">
        <f>ROUNDUP(+MIN((15000*8*$J$6*IF('Span Table '!$T$5="Yes",2,1)*144)/(H$107*$B141*$J$103),(($B141/120)*48*144*10000000*$J$4*IF('Span Table '!$T$5="Yes",2,1)*2)/(H$107*$B141^3*$J$103)),0)</f>
        <v>30</v>
      </c>
      <c r="I141" s="14">
        <f>ROUNDUP(+MIN((15000*8*$J$6*IF('Span Table '!$T$5="Yes",2,1)*144)/(I$107*$B141*$J$103),(($B141/120)*48*144*10000000*$J$4*IF('Span Table '!$T$5="Yes",2,1)*2)/(I$107*$B141^3*$J$103)),0)</f>
        <v>29</v>
      </c>
      <c r="J141" s="14">
        <f>ROUNDUP(+MIN((15000*8*$J$6*IF('Span Table '!$T$5="Yes",2,1)*144)/(J$107*$B141*$J$103),(($B141/120)*48*144*10000000*$J$4*IF('Span Table '!$T$5="Yes",2,1)*2)/(J$107*$B141^3*$J$103)),0)</f>
        <v>28</v>
      </c>
      <c r="K141" s="14">
        <f>ROUNDUP(+MIN((15000*8*$J$6*IF('Span Table '!$T$5="Yes",2,1)*144)/(K$107*$B141*$J$103),(($B141/120)*48*144*10000000*$J$4*IF('Span Table '!$T$5="Yes",2,1)*2)/(K$107*$B141^3*$J$103)),0)</f>
        <v>27</v>
      </c>
      <c r="L141" s="25">
        <f t="shared" si="15"/>
        <v>294</v>
      </c>
      <c r="M141" s="37"/>
      <c r="N141" s="37"/>
      <c r="O141" s="37"/>
      <c r="P141" s="37"/>
      <c r="Q141" s="37"/>
      <c r="R141" s="37"/>
      <c r="S141" s="37"/>
      <c r="T141" s="37"/>
      <c r="U141" s="37"/>
      <c r="V141" s="37"/>
    </row>
    <row r="142" spans="1:22" ht="15.75" customHeight="1" thickBot="1" x14ac:dyDescent="0.3">
      <c r="A142" s="1"/>
      <c r="B142" s="25">
        <f t="shared" si="16"/>
        <v>96</v>
      </c>
      <c r="C142" s="14">
        <f>ROUNDUP(+MIN((15000*8*$J$6*IF('Span Table '!$T$5="Yes",2,1)*144)/(C$107*$B142*$J$103),(($B142/120)*48*144*10000000*$J$4*IF('Span Table '!$T$5="Yes",2,1)*2)/(C$107*$B142^3*$J$103)),0)</f>
        <v>40</v>
      </c>
      <c r="D142" s="14">
        <f>ROUNDUP(+MIN((15000*8*$J$6*IF('Span Table '!$T$5="Yes",2,1)*144)/(D$107*$B142*$J$103),(($B142/120)*48*144*10000000*$J$4*IF('Span Table '!$T$5="Yes",2,1)*2)/(D$107*$B142^3*$J$103)),0)</f>
        <v>38</v>
      </c>
      <c r="E142" s="14">
        <f>ROUNDUP(+MIN((15000*8*$J$6*IF('Span Table '!$T$5="Yes",2,1)*144)/(E$107*$B142*$J$103),(($B142/120)*48*144*10000000*$J$4*IF('Span Table '!$T$5="Yes",2,1)*2)/(E$107*$B142^3*$J$103)),0)</f>
        <v>36</v>
      </c>
      <c r="F142" s="14">
        <f>ROUNDUP(+MIN((15000*8*$J$6*IF('Span Table '!$T$5="Yes",2,1)*144)/(F$107*$B142*$J$103),(($B142/120)*48*144*10000000*$J$4*IF('Span Table '!$T$5="Yes",2,1)*2)/(F$107*$B142^3*$J$103)),0)</f>
        <v>35</v>
      </c>
      <c r="G142" s="14">
        <f>ROUNDUP(+MIN((15000*8*$J$6*IF('Span Table '!$T$5="Yes",2,1)*144)/(G$107*$B142*$J$103),(($B142/120)*48*144*10000000*$J$4*IF('Span Table '!$T$5="Yes",2,1)*2)/(G$107*$B142^3*$J$103)),0)</f>
        <v>33</v>
      </c>
      <c r="H142" s="14">
        <f>ROUNDUP(+MIN((15000*8*$J$6*IF('Span Table '!$T$5="Yes",2,1)*144)/(H$107*$B142*$J$103),(($B142/120)*48*144*10000000*$J$4*IF('Span Table '!$T$5="Yes",2,1)*2)/(H$107*$B142^3*$J$103)),0)</f>
        <v>32</v>
      </c>
      <c r="I142" s="14">
        <f>ROUNDUP(+MIN((15000*8*$J$6*IF('Span Table '!$T$5="Yes",2,1)*144)/(I$107*$B142*$J$103),(($B142/120)*48*144*10000000*$J$4*IF('Span Table '!$T$5="Yes",2,1)*2)/(I$107*$B142^3*$J$103)),0)</f>
        <v>31</v>
      </c>
      <c r="J142" s="14">
        <f>ROUNDUP(+MIN((15000*8*$J$6*IF('Span Table '!$T$5="Yes",2,1)*144)/(J$107*$B142*$J$103),(($B142/120)*48*144*10000000*$J$4*IF('Span Table '!$T$5="Yes",2,1)*2)/(J$107*$B142^3*$J$103)),0)</f>
        <v>29</v>
      </c>
      <c r="K142" s="14">
        <f>ROUNDUP(+MIN((15000*8*$J$6*IF('Span Table '!$T$5="Yes",2,1)*144)/(K$107*$B142*$J$103),(($B142/120)*48*144*10000000*$J$4*IF('Span Table '!$T$5="Yes",2,1)*2)/(K$107*$B142^3*$J$103)),0)</f>
        <v>28</v>
      </c>
      <c r="L142" s="26">
        <f t="shared" si="15"/>
        <v>300</v>
      </c>
      <c r="M142" s="37"/>
      <c r="N142" s="37"/>
      <c r="O142" s="37"/>
      <c r="P142" s="37"/>
      <c r="Q142" s="37"/>
      <c r="R142" s="37"/>
      <c r="S142" s="37"/>
      <c r="T142" s="37"/>
      <c r="U142" s="37"/>
      <c r="V142" s="37"/>
    </row>
    <row r="143" spans="1:22" ht="15.75" customHeight="1" x14ac:dyDescent="0.25">
      <c r="A143" s="1"/>
      <c r="B143" s="1"/>
      <c r="C143" s="1"/>
      <c r="D143" s="1"/>
      <c r="E143" s="1"/>
      <c r="F143" s="1"/>
      <c r="G143" s="1"/>
      <c r="H143" s="1"/>
      <c r="I143" s="1"/>
      <c r="J143" s="1"/>
      <c r="K143" s="1"/>
      <c r="L143" s="1"/>
      <c r="M143" s="37"/>
      <c r="N143" s="37"/>
      <c r="O143" s="37"/>
      <c r="P143" s="37"/>
      <c r="Q143" s="37"/>
      <c r="R143" s="37"/>
      <c r="S143" s="37"/>
      <c r="T143" s="37"/>
      <c r="U143" s="37"/>
      <c r="V143" s="37"/>
    </row>
    <row r="144" spans="1:22" ht="15.75" customHeight="1" x14ac:dyDescent="0.25">
      <c r="A144" s="1"/>
      <c r="B144" s="1"/>
      <c r="C144" s="1"/>
      <c r="D144" s="1"/>
      <c r="E144" s="1"/>
      <c r="F144" s="1"/>
      <c r="G144" s="1"/>
      <c r="H144" s="1"/>
      <c r="I144" s="1"/>
      <c r="J144" s="1"/>
      <c r="K144" s="1"/>
      <c r="L144" s="1"/>
      <c r="M144" s="37"/>
      <c r="N144" s="37"/>
      <c r="O144" s="37"/>
      <c r="P144" s="37"/>
      <c r="Q144" s="37"/>
      <c r="R144" s="37"/>
      <c r="S144" s="37"/>
      <c r="T144" s="37"/>
      <c r="U144" s="37"/>
      <c r="V144" s="37"/>
    </row>
    <row r="145" spans="1:22" s="53" customFormat="1" ht="15.75" customHeight="1" x14ac:dyDescent="0.25">
      <c r="A145" s="37"/>
      <c r="B145" s="37"/>
      <c r="C145" s="37"/>
      <c r="D145" s="37"/>
      <c r="E145" s="37"/>
      <c r="F145" s="37"/>
      <c r="G145" s="37"/>
      <c r="H145" s="37"/>
      <c r="I145" s="37"/>
      <c r="J145" s="37"/>
      <c r="K145" s="37"/>
      <c r="L145" s="37"/>
      <c r="M145" s="37"/>
      <c r="N145" s="37"/>
      <c r="O145" s="37"/>
      <c r="P145" s="37"/>
      <c r="Q145" s="37"/>
      <c r="R145" s="37"/>
      <c r="S145" s="37"/>
      <c r="T145" s="37"/>
      <c r="U145" s="37"/>
      <c r="V145" s="37"/>
    </row>
    <row r="146" spans="1:22" s="53" customFormat="1" ht="15.75" customHeight="1" x14ac:dyDescent="0.25">
      <c r="A146" s="37"/>
      <c r="B146" s="37"/>
      <c r="C146" s="37"/>
      <c r="D146" s="37"/>
      <c r="E146" s="37"/>
      <c r="F146" s="37"/>
      <c r="G146" s="37"/>
      <c r="H146" s="37"/>
      <c r="I146" s="37"/>
      <c r="J146" s="37"/>
      <c r="K146" s="37"/>
      <c r="L146" s="37"/>
      <c r="M146" s="37"/>
      <c r="N146" s="37"/>
      <c r="O146" s="37"/>
      <c r="P146" s="37"/>
      <c r="Q146" s="37"/>
      <c r="R146" s="37"/>
      <c r="S146" s="37"/>
      <c r="T146" s="37"/>
      <c r="U146" s="37"/>
      <c r="V146" s="37"/>
    </row>
    <row r="147" spans="1:22" s="53" customFormat="1" ht="15.75" customHeight="1" x14ac:dyDescent="0.25">
      <c r="A147" s="37"/>
      <c r="B147" s="37"/>
      <c r="C147" s="37"/>
      <c r="D147" s="37"/>
      <c r="E147" s="37"/>
      <c r="F147" s="37"/>
      <c r="G147" s="37"/>
      <c r="H147" s="37"/>
      <c r="I147" s="37"/>
      <c r="J147" s="37"/>
      <c r="K147" s="37"/>
      <c r="L147" s="37"/>
      <c r="M147" s="37"/>
      <c r="N147" s="37"/>
      <c r="O147" s="37"/>
      <c r="P147" s="37"/>
      <c r="Q147" s="37"/>
      <c r="R147" s="37"/>
      <c r="S147" s="37"/>
      <c r="T147" s="37"/>
      <c r="U147" s="37"/>
      <c r="V147" s="37"/>
    </row>
    <row r="148" spans="1:22" s="53" customFormat="1" ht="15.75" customHeight="1" x14ac:dyDescent="0.25">
      <c r="A148" s="37"/>
      <c r="B148" s="37"/>
      <c r="C148" s="37"/>
      <c r="D148" s="37"/>
      <c r="E148" s="37"/>
      <c r="F148" s="37"/>
      <c r="G148" s="37"/>
      <c r="H148" s="37"/>
      <c r="I148" s="37"/>
      <c r="J148" s="37"/>
      <c r="K148" s="37"/>
      <c r="L148" s="37"/>
      <c r="M148" s="37"/>
      <c r="N148" s="37"/>
      <c r="O148" s="37"/>
      <c r="P148" s="37"/>
      <c r="Q148" s="37"/>
      <c r="R148" s="37"/>
      <c r="S148" s="37"/>
      <c r="T148" s="37"/>
      <c r="U148" s="37"/>
      <c r="V148" s="37"/>
    </row>
    <row r="149" spans="1:22" s="53" customFormat="1" ht="15.75" customHeight="1" x14ac:dyDescent="0.25">
      <c r="A149" s="37"/>
      <c r="B149" s="37"/>
      <c r="C149" s="37"/>
      <c r="D149" s="37"/>
      <c r="E149" s="37"/>
      <c r="F149" s="37"/>
      <c r="G149" s="37"/>
      <c r="H149" s="37"/>
      <c r="I149" s="37"/>
      <c r="J149" s="37"/>
      <c r="K149" s="37"/>
      <c r="L149" s="37"/>
      <c r="M149" s="37"/>
      <c r="N149" s="37"/>
      <c r="O149" s="37"/>
      <c r="P149" s="37"/>
      <c r="Q149" s="37"/>
      <c r="R149" s="37"/>
      <c r="S149" s="37"/>
      <c r="T149" s="37"/>
      <c r="U149" s="37"/>
      <c r="V149" s="37"/>
    </row>
    <row r="150" spans="1:22" s="53" customFormat="1" ht="15.75" customHeight="1" x14ac:dyDescent="0.25">
      <c r="A150" s="37"/>
      <c r="B150" s="37"/>
      <c r="C150" s="37"/>
      <c r="D150" s="37"/>
      <c r="E150" s="37"/>
      <c r="F150" s="37"/>
      <c r="G150" s="37"/>
      <c r="H150" s="37"/>
      <c r="I150" s="37"/>
      <c r="J150" s="37"/>
      <c r="K150" s="37"/>
      <c r="L150" s="37"/>
      <c r="M150" s="37"/>
      <c r="N150" s="37"/>
      <c r="O150" s="37"/>
      <c r="P150" s="37"/>
      <c r="Q150" s="37"/>
      <c r="R150" s="37"/>
      <c r="S150" s="37"/>
      <c r="T150" s="37"/>
      <c r="U150" s="37"/>
      <c r="V150" s="37"/>
    </row>
    <row r="151" spans="1:22" s="53" customFormat="1" ht="15.75" customHeight="1" x14ac:dyDescent="0.25">
      <c r="A151" s="37"/>
      <c r="B151" s="37"/>
      <c r="C151" s="37"/>
      <c r="D151" s="37"/>
      <c r="E151" s="37"/>
      <c r="F151" s="37"/>
      <c r="G151" s="37"/>
      <c r="H151" s="37"/>
      <c r="I151" s="37"/>
      <c r="J151" s="37"/>
      <c r="K151" s="37"/>
      <c r="L151" s="37"/>
      <c r="M151" s="37"/>
      <c r="N151" s="37"/>
      <c r="O151" s="37"/>
      <c r="P151" s="37"/>
      <c r="Q151" s="37"/>
      <c r="R151" s="37"/>
      <c r="S151" s="37"/>
      <c r="T151" s="37"/>
      <c r="U151" s="37"/>
      <c r="V151" s="37"/>
    </row>
    <row r="152" spans="1:22" s="53" customFormat="1" ht="15.75" customHeight="1" x14ac:dyDescent="0.25">
      <c r="A152" s="37"/>
      <c r="B152" s="37"/>
      <c r="C152" s="37"/>
      <c r="D152" s="37"/>
      <c r="E152" s="37"/>
      <c r="F152" s="37"/>
      <c r="G152" s="37"/>
      <c r="H152" s="37"/>
      <c r="I152" s="37"/>
      <c r="J152" s="37"/>
      <c r="K152" s="37"/>
      <c r="L152" s="37"/>
      <c r="M152" s="37"/>
      <c r="N152" s="37"/>
      <c r="O152" s="37"/>
      <c r="P152" s="37"/>
      <c r="Q152" s="37"/>
      <c r="R152" s="37"/>
      <c r="S152" s="37"/>
      <c r="T152" s="37"/>
      <c r="U152" s="37"/>
      <c r="V152" s="37"/>
    </row>
    <row r="153" spans="1:22" s="53" customFormat="1" ht="15.75" customHeight="1" x14ac:dyDescent="0.25">
      <c r="A153" s="37"/>
      <c r="B153" s="37"/>
      <c r="C153" s="37"/>
      <c r="D153" s="37"/>
      <c r="E153" s="37"/>
      <c r="F153" s="37"/>
      <c r="G153" s="37"/>
      <c r="H153" s="37"/>
      <c r="I153" s="37"/>
      <c r="J153" s="37"/>
      <c r="K153" s="37"/>
      <c r="L153" s="37"/>
      <c r="M153" s="37"/>
      <c r="N153" s="37"/>
      <c r="O153" s="37"/>
      <c r="P153" s="37"/>
      <c r="Q153" s="37"/>
      <c r="R153" s="37"/>
      <c r="S153" s="37"/>
      <c r="T153" s="37"/>
      <c r="U153" s="37"/>
      <c r="V153" s="37"/>
    </row>
    <row r="154" spans="1:22" s="53" customFormat="1" ht="15.75" customHeight="1" x14ac:dyDescent="0.25">
      <c r="A154" s="37"/>
      <c r="B154" s="37"/>
      <c r="C154" s="37"/>
      <c r="D154" s="37"/>
      <c r="E154" s="37"/>
      <c r="F154" s="37"/>
      <c r="G154" s="37"/>
      <c r="H154" s="37"/>
      <c r="I154" s="37"/>
      <c r="J154" s="37"/>
      <c r="K154" s="37"/>
      <c r="L154" s="37"/>
      <c r="M154" s="37"/>
      <c r="N154" s="37"/>
      <c r="O154" s="37"/>
      <c r="P154" s="37"/>
      <c r="Q154" s="37"/>
      <c r="R154" s="37"/>
      <c r="S154" s="37"/>
      <c r="T154" s="37"/>
      <c r="U154" s="37"/>
      <c r="V154" s="37"/>
    </row>
    <row r="155" spans="1:22" s="53" customFormat="1" ht="15.75" customHeight="1" x14ac:dyDescent="0.25">
      <c r="A155" s="37"/>
      <c r="B155" s="37"/>
      <c r="C155" s="37"/>
      <c r="D155" s="37"/>
      <c r="E155" s="37"/>
      <c r="F155" s="37"/>
      <c r="G155" s="37"/>
      <c r="H155" s="37"/>
      <c r="I155" s="37"/>
      <c r="J155" s="37"/>
      <c r="K155" s="37"/>
      <c r="L155" s="37"/>
      <c r="M155" s="37"/>
      <c r="N155" s="37"/>
      <c r="O155" s="37"/>
      <c r="P155" s="37"/>
      <c r="Q155" s="37"/>
      <c r="R155" s="37"/>
      <c r="S155" s="37"/>
      <c r="T155" s="37"/>
      <c r="U155" s="37"/>
      <c r="V155" s="37"/>
    </row>
    <row r="156" spans="1:22" s="53" customFormat="1" ht="15.75" customHeight="1" x14ac:dyDescent="0.25">
      <c r="A156" s="37"/>
      <c r="B156" s="37"/>
      <c r="C156" s="37"/>
      <c r="D156" s="37"/>
      <c r="E156" s="37"/>
      <c r="F156" s="37"/>
      <c r="G156" s="37"/>
      <c r="H156" s="37"/>
      <c r="I156" s="37"/>
      <c r="J156" s="37"/>
      <c r="K156" s="37"/>
      <c r="L156" s="37"/>
      <c r="M156" s="37"/>
      <c r="N156" s="37"/>
      <c r="O156" s="37"/>
      <c r="P156" s="37"/>
      <c r="Q156" s="37"/>
      <c r="R156" s="37"/>
      <c r="S156" s="37"/>
      <c r="T156" s="37"/>
      <c r="U156" s="37"/>
      <c r="V156" s="37"/>
    </row>
    <row r="157" spans="1:22" s="53" customFormat="1" ht="15.75" customHeight="1" x14ac:dyDescent="0.25">
      <c r="A157" s="37"/>
      <c r="B157" s="37"/>
      <c r="C157" s="37"/>
      <c r="D157" s="37"/>
      <c r="E157" s="37"/>
      <c r="F157" s="37"/>
      <c r="G157" s="37"/>
      <c r="H157" s="37"/>
      <c r="I157" s="37"/>
      <c r="J157" s="37"/>
      <c r="K157" s="37"/>
      <c r="L157" s="37"/>
      <c r="M157" s="37"/>
      <c r="N157" s="37"/>
      <c r="O157" s="37"/>
      <c r="P157" s="37"/>
      <c r="Q157" s="37"/>
      <c r="R157" s="37"/>
      <c r="S157" s="37"/>
      <c r="T157" s="37"/>
      <c r="U157" s="37"/>
      <c r="V157" s="37"/>
    </row>
    <row r="158" spans="1:22" s="53" customFormat="1" ht="15.75" customHeight="1" x14ac:dyDescent="0.25">
      <c r="A158" s="37"/>
      <c r="B158" s="37"/>
      <c r="C158" s="37"/>
      <c r="D158" s="37"/>
      <c r="E158" s="37"/>
      <c r="F158" s="37"/>
      <c r="G158" s="37"/>
      <c r="H158" s="37"/>
      <c r="I158" s="37"/>
      <c r="J158" s="37"/>
      <c r="K158" s="37"/>
      <c r="L158" s="37"/>
      <c r="M158" s="37"/>
      <c r="N158" s="37"/>
      <c r="O158" s="37"/>
      <c r="P158" s="37"/>
      <c r="Q158" s="37"/>
      <c r="R158" s="37"/>
      <c r="S158" s="37"/>
      <c r="T158" s="37"/>
      <c r="U158" s="37"/>
      <c r="V158" s="37"/>
    </row>
    <row r="159" spans="1:22" s="53" customFormat="1" ht="15.75" customHeight="1" x14ac:dyDescent="0.25">
      <c r="A159" s="37"/>
      <c r="B159" s="37"/>
      <c r="C159" s="37"/>
      <c r="D159" s="37"/>
      <c r="E159" s="37"/>
      <c r="F159" s="37"/>
      <c r="G159" s="37"/>
      <c r="H159" s="37"/>
      <c r="I159" s="37"/>
      <c r="J159" s="37"/>
      <c r="K159" s="37"/>
      <c r="L159" s="37"/>
      <c r="M159" s="37"/>
      <c r="N159" s="37"/>
      <c r="O159" s="37"/>
      <c r="P159" s="37"/>
      <c r="Q159" s="37"/>
      <c r="R159" s="37"/>
      <c r="S159" s="37"/>
      <c r="T159" s="37"/>
      <c r="U159" s="37"/>
      <c r="V159" s="37"/>
    </row>
    <row r="160" spans="1:22" s="53" customFormat="1" ht="15.75" customHeight="1" x14ac:dyDescent="0.25">
      <c r="A160" s="37"/>
      <c r="B160" s="37"/>
      <c r="C160" s="37"/>
      <c r="D160" s="37"/>
      <c r="E160" s="37"/>
      <c r="F160" s="37"/>
      <c r="G160" s="37"/>
      <c r="H160" s="37"/>
      <c r="I160" s="37"/>
      <c r="J160" s="37"/>
      <c r="K160" s="37"/>
      <c r="L160" s="37"/>
      <c r="M160" s="37"/>
      <c r="N160" s="37"/>
      <c r="O160" s="37"/>
      <c r="P160" s="37"/>
      <c r="Q160" s="37"/>
      <c r="R160" s="37"/>
      <c r="S160" s="37"/>
      <c r="T160" s="37"/>
      <c r="U160" s="37"/>
      <c r="V160" s="37"/>
    </row>
    <row r="161" spans="1:22" s="53" customFormat="1" ht="15.75" customHeight="1" x14ac:dyDescent="0.25">
      <c r="A161" s="37"/>
      <c r="B161" s="37"/>
      <c r="C161" s="37"/>
      <c r="D161" s="37"/>
      <c r="E161" s="37"/>
      <c r="F161" s="37"/>
      <c r="G161" s="37"/>
      <c r="H161" s="37"/>
      <c r="I161" s="37"/>
      <c r="J161" s="37"/>
      <c r="K161" s="37"/>
      <c r="L161" s="37"/>
      <c r="M161" s="37"/>
      <c r="N161" s="37"/>
      <c r="O161" s="37"/>
      <c r="P161" s="37"/>
      <c r="Q161" s="37"/>
      <c r="R161" s="37"/>
      <c r="S161" s="37"/>
      <c r="T161" s="37"/>
      <c r="U161" s="37"/>
      <c r="V161" s="37"/>
    </row>
    <row r="162" spans="1:22" s="53" customFormat="1" ht="15.75" customHeight="1" x14ac:dyDescent="0.25">
      <c r="A162" s="37"/>
      <c r="B162" s="37"/>
      <c r="C162" s="37"/>
      <c r="D162" s="37"/>
      <c r="E162" s="37"/>
      <c r="F162" s="37"/>
      <c r="G162" s="37"/>
      <c r="H162" s="37"/>
      <c r="I162" s="37"/>
      <c r="J162" s="37"/>
      <c r="K162" s="37"/>
      <c r="L162" s="37"/>
      <c r="M162" s="37"/>
      <c r="N162" s="37"/>
      <c r="O162" s="37"/>
      <c r="P162" s="37"/>
      <c r="Q162" s="37"/>
      <c r="R162" s="37"/>
      <c r="S162" s="37"/>
      <c r="T162" s="37"/>
      <c r="U162" s="37"/>
      <c r="V162" s="37"/>
    </row>
    <row r="163" spans="1:22" s="53" customFormat="1" ht="15.75" customHeight="1" x14ac:dyDescent="0.25">
      <c r="A163" s="37"/>
      <c r="B163" s="37"/>
      <c r="C163" s="37"/>
      <c r="D163" s="37"/>
      <c r="E163" s="37"/>
      <c r="F163" s="37"/>
      <c r="G163" s="37"/>
      <c r="H163" s="37"/>
      <c r="I163" s="37"/>
      <c r="J163" s="37"/>
      <c r="K163" s="37"/>
      <c r="L163" s="37"/>
      <c r="M163" s="37"/>
      <c r="N163" s="37"/>
      <c r="O163" s="37"/>
      <c r="P163" s="37"/>
      <c r="Q163" s="37"/>
      <c r="R163" s="37"/>
      <c r="S163" s="37"/>
      <c r="T163" s="37"/>
      <c r="U163" s="37"/>
      <c r="V163" s="37"/>
    </row>
    <row r="164" spans="1:22" s="53" customFormat="1" ht="15.75" customHeight="1" x14ac:dyDescent="0.25">
      <c r="A164" s="37"/>
      <c r="B164" s="37"/>
      <c r="C164" s="37"/>
      <c r="D164" s="37"/>
      <c r="E164" s="37"/>
      <c r="F164" s="37"/>
      <c r="G164" s="37"/>
      <c r="H164" s="37"/>
      <c r="I164" s="37"/>
      <c r="J164" s="37"/>
      <c r="K164" s="37"/>
      <c r="L164" s="37"/>
      <c r="M164" s="37"/>
      <c r="N164" s="37"/>
      <c r="O164" s="37"/>
      <c r="P164" s="37"/>
      <c r="Q164" s="37"/>
      <c r="R164" s="37"/>
      <c r="S164" s="37"/>
      <c r="T164" s="37"/>
      <c r="U164" s="37"/>
      <c r="V164" s="37"/>
    </row>
    <row r="165" spans="1:22" s="53" customFormat="1" ht="15.75" customHeight="1" x14ac:dyDescent="0.25">
      <c r="A165" s="37"/>
      <c r="B165" s="37"/>
      <c r="C165" s="37"/>
      <c r="D165" s="37"/>
      <c r="E165" s="37"/>
      <c r="F165" s="37"/>
      <c r="G165" s="37"/>
      <c r="H165" s="37"/>
      <c r="I165" s="37"/>
      <c r="J165" s="37"/>
      <c r="K165" s="37"/>
      <c r="L165" s="37"/>
      <c r="M165" s="37"/>
      <c r="N165" s="37"/>
      <c r="O165" s="37"/>
      <c r="P165" s="37"/>
      <c r="Q165" s="37"/>
      <c r="R165" s="37"/>
      <c r="S165" s="37"/>
      <c r="T165" s="37"/>
      <c r="U165" s="37"/>
      <c r="V165" s="37"/>
    </row>
    <row r="166" spans="1:22" s="53" customFormat="1" ht="15.75" customHeight="1" x14ac:dyDescent="0.25">
      <c r="A166" s="37"/>
      <c r="B166" s="37"/>
      <c r="C166" s="37"/>
      <c r="D166" s="37"/>
      <c r="E166" s="37"/>
      <c r="F166" s="37"/>
      <c r="G166" s="37"/>
      <c r="H166" s="37"/>
      <c r="I166" s="37"/>
      <c r="J166" s="37"/>
      <c r="K166" s="37"/>
      <c r="L166" s="37"/>
      <c r="M166" s="37"/>
      <c r="N166" s="37"/>
      <c r="O166" s="37"/>
      <c r="P166" s="37"/>
      <c r="Q166" s="37"/>
      <c r="R166" s="37"/>
      <c r="S166" s="37"/>
      <c r="T166" s="37"/>
      <c r="U166" s="37"/>
      <c r="V166" s="37"/>
    </row>
    <row r="167" spans="1:22" s="53" customFormat="1" ht="15.75" customHeight="1" x14ac:dyDescent="0.25">
      <c r="A167" s="37"/>
      <c r="B167" s="37"/>
      <c r="C167" s="37"/>
      <c r="D167" s="37"/>
      <c r="E167" s="37"/>
      <c r="F167" s="37"/>
      <c r="G167" s="37"/>
      <c r="H167" s="37"/>
      <c r="I167" s="37"/>
      <c r="J167" s="37"/>
      <c r="K167" s="37"/>
      <c r="L167" s="37"/>
      <c r="M167" s="37"/>
      <c r="N167" s="37"/>
      <c r="O167" s="37"/>
      <c r="P167" s="37"/>
      <c r="Q167" s="37"/>
      <c r="R167" s="37"/>
      <c r="S167" s="37"/>
      <c r="T167" s="37"/>
      <c r="U167" s="37"/>
      <c r="V167" s="37"/>
    </row>
    <row r="168" spans="1:22" s="53" customFormat="1" ht="15.75" customHeight="1" x14ac:dyDescent="0.25">
      <c r="A168" s="37"/>
      <c r="B168" s="37"/>
      <c r="C168" s="37"/>
      <c r="D168" s="37"/>
      <c r="E168" s="37"/>
      <c r="F168" s="37"/>
      <c r="G168" s="37"/>
      <c r="H168" s="37"/>
      <c r="I168" s="37"/>
      <c r="J168" s="37"/>
      <c r="K168" s="37"/>
      <c r="L168" s="37"/>
      <c r="M168" s="37"/>
      <c r="N168" s="37"/>
      <c r="O168" s="37"/>
      <c r="P168" s="37"/>
      <c r="Q168" s="37"/>
      <c r="R168" s="37"/>
      <c r="S168" s="37"/>
      <c r="T168" s="37"/>
      <c r="U168" s="37"/>
      <c r="V168" s="37"/>
    </row>
    <row r="169" spans="1:22" s="53" customFormat="1" ht="15.75" customHeight="1" x14ac:dyDescent="0.25">
      <c r="A169" s="37"/>
      <c r="B169" s="37"/>
      <c r="C169" s="37"/>
      <c r="D169" s="37"/>
      <c r="E169" s="37"/>
      <c r="F169" s="37"/>
      <c r="G169" s="37"/>
      <c r="H169" s="37"/>
      <c r="I169" s="37"/>
      <c r="J169" s="37"/>
      <c r="K169" s="37"/>
      <c r="L169" s="37"/>
      <c r="M169" s="37"/>
      <c r="N169" s="37"/>
      <c r="O169" s="37"/>
      <c r="P169" s="37"/>
      <c r="Q169" s="37"/>
      <c r="R169" s="37"/>
      <c r="S169" s="37"/>
      <c r="T169" s="37"/>
      <c r="U169" s="37"/>
      <c r="V169" s="37"/>
    </row>
    <row r="170" spans="1:22" s="53" customFormat="1" ht="15.75" customHeight="1" x14ac:dyDescent="0.25">
      <c r="A170" s="37"/>
      <c r="B170" s="37"/>
      <c r="C170" s="37"/>
      <c r="D170" s="37"/>
      <c r="E170" s="37"/>
      <c r="F170" s="37"/>
      <c r="G170" s="37"/>
      <c r="H170" s="37"/>
      <c r="I170" s="37"/>
      <c r="J170" s="37"/>
      <c r="K170" s="37"/>
      <c r="L170" s="37"/>
      <c r="M170" s="37"/>
      <c r="Q170" s="37"/>
      <c r="R170" s="37"/>
      <c r="S170" s="37"/>
      <c r="T170" s="37"/>
      <c r="U170" s="37"/>
      <c r="V170" s="37"/>
    </row>
    <row r="171" spans="1:22" s="53" customFormat="1" ht="15.75" customHeight="1" x14ac:dyDescent="0.25">
      <c r="A171" s="37"/>
      <c r="B171" s="37"/>
      <c r="C171" s="37"/>
      <c r="D171" s="37"/>
      <c r="E171" s="37"/>
      <c r="F171" s="37"/>
      <c r="G171" s="37"/>
      <c r="H171" s="37"/>
      <c r="I171" s="37"/>
      <c r="J171" s="37"/>
      <c r="K171" s="37"/>
      <c r="L171" s="37"/>
      <c r="M171" s="37"/>
      <c r="Q171" s="37"/>
      <c r="R171" s="37"/>
      <c r="S171" s="37"/>
      <c r="T171" s="37"/>
      <c r="U171" s="37"/>
      <c r="V171" s="37"/>
    </row>
    <row r="172" spans="1:22" s="53" customFormat="1" ht="15.75" customHeight="1" x14ac:dyDescent="0.25"/>
    <row r="173" spans="1:22" s="53" customFormat="1" ht="15.75" customHeight="1" x14ac:dyDescent="0.25"/>
    <row r="174" spans="1:22" s="53" customFormat="1" ht="15.75" customHeight="1" x14ac:dyDescent="0.25"/>
    <row r="175" spans="1:22" s="53" customFormat="1" ht="15.75" customHeight="1" x14ac:dyDescent="0.25"/>
    <row r="176" spans="1:22" s="53" customFormat="1" x14ac:dyDescent="0.25"/>
    <row r="177" s="53" customFormat="1" x14ac:dyDescent="0.25"/>
    <row r="178" s="53" customFormat="1" x14ac:dyDescent="0.25"/>
    <row r="179" s="53" customFormat="1" x14ac:dyDescent="0.25"/>
    <row r="180" s="53" customFormat="1" x14ac:dyDescent="0.25"/>
    <row r="181" s="53" customFormat="1" x14ac:dyDescent="0.25"/>
    <row r="182" s="53" customFormat="1" x14ac:dyDescent="0.25"/>
    <row r="183" s="53" customFormat="1" x14ac:dyDescent="0.25"/>
    <row r="184" s="53" customFormat="1" x14ac:dyDescent="0.25"/>
    <row r="185" s="53" customFormat="1" x14ac:dyDescent="0.25"/>
    <row r="186" s="53" customFormat="1" x14ac:dyDescent="0.25"/>
    <row r="187" s="53" customFormat="1" x14ac:dyDescent="0.25"/>
    <row r="188" s="53" customFormat="1" x14ac:dyDescent="0.25"/>
    <row r="189" s="53" customFormat="1" x14ac:dyDescent="0.25"/>
    <row r="190" s="53" customFormat="1" x14ac:dyDescent="0.25"/>
    <row r="191" s="53" customFormat="1" x14ac:dyDescent="0.25"/>
    <row r="192" s="53" customFormat="1" x14ac:dyDescent="0.25"/>
    <row r="193" s="53" customFormat="1" x14ac:dyDescent="0.25"/>
    <row r="194" s="53" customFormat="1" x14ac:dyDescent="0.25"/>
    <row r="195" s="53" customFormat="1" x14ac:dyDescent="0.25"/>
    <row r="196" s="53" customFormat="1" x14ac:dyDescent="0.25"/>
    <row r="197" s="53" customFormat="1" x14ac:dyDescent="0.25"/>
    <row r="198" s="53" customFormat="1" x14ac:dyDescent="0.25"/>
    <row r="199" s="53" customFormat="1" x14ac:dyDescent="0.25"/>
    <row r="200" s="53" customFormat="1" x14ac:dyDescent="0.25"/>
    <row r="201" s="53" customFormat="1" x14ac:dyDescent="0.25"/>
    <row r="202" s="53" customFormat="1" x14ac:dyDescent="0.25"/>
    <row r="203" s="53" customFormat="1" x14ac:dyDescent="0.25"/>
    <row r="204" s="53" customFormat="1" x14ac:dyDescent="0.25"/>
    <row r="205" s="53" customFormat="1" x14ac:dyDescent="0.25"/>
    <row r="206" s="53" customFormat="1" x14ac:dyDescent="0.25"/>
    <row r="207" s="53" customFormat="1" x14ac:dyDescent="0.25"/>
    <row r="208" s="53" customFormat="1" x14ac:dyDescent="0.25"/>
    <row r="209" s="53" customFormat="1" x14ac:dyDescent="0.25"/>
    <row r="210" s="53" customFormat="1" x14ac:dyDescent="0.25"/>
    <row r="211" s="53" customFormat="1" x14ac:dyDescent="0.25"/>
    <row r="212" s="53" customFormat="1" x14ac:dyDescent="0.25"/>
    <row r="213" s="53" customFormat="1" x14ac:dyDescent="0.25"/>
    <row r="214" s="53" customFormat="1" x14ac:dyDescent="0.25"/>
    <row r="215" s="53" customFormat="1" x14ac:dyDescent="0.25"/>
    <row r="216" s="53" customFormat="1" x14ac:dyDescent="0.25"/>
    <row r="217" s="53" customFormat="1" x14ac:dyDescent="0.25"/>
    <row r="218" s="53" customFormat="1" x14ac:dyDescent="0.25"/>
    <row r="219" s="53" customFormat="1" x14ac:dyDescent="0.25"/>
    <row r="220" s="53" customFormat="1" x14ac:dyDescent="0.25"/>
    <row r="221" s="53" customFormat="1" x14ac:dyDescent="0.25"/>
    <row r="222" s="53" customFormat="1" x14ac:dyDescent="0.25"/>
    <row r="223" s="53" customFormat="1" x14ac:dyDescent="0.25"/>
    <row r="224" s="53" customFormat="1" x14ac:dyDescent="0.25"/>
    <row r="225" s="53" customFormat="1" x14ac:dyDescent="0.25"/>
    <row r="226" s="53" customFormat="1" x14ac:dyDescent="0.25"/>
    <row r="227" s="53" customFormat="1" x14ac:dyDescent="0.25"/>
    <row r="228" s="53" customFormat="1" x14ac:dyDescent="0.25"/>
    <row r="229" s="53" customFormat="1" x14ac:dyDescent="0.25"/>
    <row r="230" s="53" customFormat="1" x14ac:dyDescent="0.25"/>
    <row r="231" s="53" customFormat="1" x14ac:dyDescent="0.25"/>
    <row r="232" s="53" customFormat="1" x14ac:dyDescent="0.25"/>
    <row r="233" s="53" customFormat="1" x14ac:dyDescent="0.25"/>
    <row r="234" s="53" customFormat="1" x14ac:dyDescent="0.25"/>
    <row r="235" s="53" customFormat="1" x14ac:dyDescent="0.25"/>
    <row r="236" s="53" customFormat="1" x14ac:dyDescent="0.25"/>
    <row r="237" s="53" customFormat="1" x14ac:dyDescent="0.25"/>
    <row r="238" s="53" customFormat="1" x14ac:dyDescent="0.25"/>
    <row r="239" s="53" customFormat="1" x14ac:dyDescent="0.25"/>
    <row r="240" s="53" customFormat="1" x14ac:dyDescent="0.25"/>
    <row r="241" s="53" customFormat="1" x14ac:dyDescent="0.25"/>
    <row r="242" s="53" customFormat="1" x14ac:dyDescent="0.25"/>
    <row r="243" s="53" customFormat="1" x14ac:dyDescent="0.25"/>
    <row r="244" s="53" customFormat="1" x14ac:dyDescent="0.25"/>
    <row r="245" s="53" customFormat="1" x14ac:dyDescent="0.25"/>
    <row r="246" s="53" customFormat="1" x14ac:dyDescent="0.25"/>
    <row r="247" s="53" customFormat="1" x14ac:dyDescent="0.25"/>
    <row r="248" s="53" customFormat="1" x14ac:dyDescent="0.25"/>
    <row r="249" s="53" customFormat="1" x14ac:dyDescent="0.25"/>
    <row r="250" s="53" customFormat="1" x14ac:dyDescent="0.25"/>
    <row r="251" s="53" customFormat="1" x14ac:dyDescent="0.25"/>
    <row r="252" s="53" customFormat="1" x14ac:dyDescent="0.25"/>
    <row r="253" s="53" customFormat="1" x14ac:dyDescent="0.25"/>
    <row r="254" s="53" customFormat="1" x14ac:dyDescent="0.25"/>
    <row r="255" s="53" customFormat="1" x14ac:dyDescent="0.25"/>
    <row r="256" s="53" customFormat="1" x14ac:dyDescent="0.25"/>
    <row r="257" s="53" customFormat="1" x14ac:dyDescent="0.25"/>
    <row r="258" s="53" customFormat="1" x14ac:dyDescent="0.25"/>
    <row r="259" s="53" customFormat="1" x14ac:dyDescent="0.25"/>
    <row r="260" s="53" customFormat="1" x14ac:dyDescent="0.25"/>
    <row r="261" s="53" customFormat="1" x14ac:dyDescent="0.25"/>
    <row r="262" s="53" customFormat="1" x14ac:dyDescent="0.25"/>
    <row r="263" s="53" customFormat="1" x14ac:dyDescent="0.25"/>
    <row r="264" s="53" customFormat="1" x14ac:dyDescent="0.25"/>
    <row r="265" s="53" customFormat="1" x14ac:dyDescent="0.25"/>
    <row r="266" s="53" customFormat="1" x14ac:dyDescent="0.25"/>
    <row r="267" s="53" customFormat="1" x14ac:dyDescent="0.25"/>
    <row r="268" s="53" customFormat="1" x14ac:dyDescent="0.25"/>
    <row r="269" s="53" customFormat="1" x14ac:dyDescent="0.25"/>
    <row r="270" s="53" customFormat="1" x14ac:dyDescent="0.25"/>
    <row r="271" s="53" customFormat="1" x14ac:dyDescent="0.25"/>
    <row r="272" s="53" customFormat="1" x14ac:dyDescent="0.25"/>
    <row r="273" s="53" customFormat="1" x14ac:dyDescent="0.25"/>
    <row r="274" s="53" customFormat="1" x14ac:dyDescent="0.25"/>
    <row r="275" s="53" customFormat="1" x14ac:dyDescent="0.25"/>
    <row r="276" s="53" customFormat="1" x14ac:dyDescent="0.25"/>
    <row r="277" s="53" customFormat="1" x14ac:dyDescent="0.25"/>
    <row r="278" s="53" customFormat="1" x14ac:dyDescent="0.25"/>
    <row r="279" s="53" customFormat="1" x14ac:dyDescent="0.25"/>
    <row r="280" s="53" customFormat="1" x14ac:dyDescent="0.25"/>
    <row r="281" s="53" customFormat="1" x14ac:dyDescent="0.25"/>
    <row r="282" s="53" customFormat="1" x14ac:dyDescent="0.25"/>
    <row r="283" s="53" customFormat="1" x14ac:dyDescent="0.25"/>
    <row r="284" s="53" customFormat="1" x14ac:dyDescent="0.25"/>
    <row r="285" s="53" customFormat="1" x14ac:dyDescent="0.25"/>
    <row r="286" s="53" customFormat="1" x14ac:dyDescent="0.25"/>
    <row r="287" s="53" customFormat="1" x14ac:dyDescent="0.25"/>
    <row r="288" s="53" customFormat="1" x14ac:dyDescent="0.25"/>
    <row r="289" s="53" customFormat="1" x14ac:dyDescent="0.25"/>
    <row r="290" s="53" customFormat="1" x14ac:dyDescent="0.25"/>
    <row r="291" s="53" customFormat="1" x14ac:dyDescent="0.25"/>
    <row r="292" s="53" customFormat="1" x14ac:dyDescent="0.25"/>
    <row r="293" s="53" customFormat="1" x14ac:dyDescent="0.25"/>
    <row r="294" s="53" customFormat="1" x14ac:dyDescent="0.25"/>
    <row r="295" s="53" customFormat="1" x14ac:dyDescent="0.25"/>
    <row r="296" s="53" customFormat="1" x14ac:dyDescent="0.25"/>
    <row r="297" s="53" customFormat="1" x14ac:dyDescent="0.25"/>
    <row r="298" s="53" customFormat="1" x14ac:dyDescent="0.25"/>
    <row r="299" s="53" customFormat="1" x14ac:dyDescent="0.25"/>
    <row r="300" s="53" customFormat="1" x14ac:dyDescent="0.25"/>
    <row r="301" s="53" customFormat="1" x14ac:dyDescent="0.25"/>
    <row r="302" s="53" customFormat="1" x14ac:dyDescent="0.25"/>
    <row r="303" s="53" customFormat="1" x14ac:dyDescent="0.25"/>
    <row r="304" s="53" customFormat="1" x14ac:dyDescent="0.25"/>
    <row r="305" s="53" customFormat="1" x14ac:dyDescent="0.25"/>
    <row r="306" s="53" customFormat="1" x14ac:dyDescent="0.25"/>
    <row r="307" s="53" customFormat="1" x14ac:dyDescent="0.25"/>
    <row r="308" s="53" customFormat="1" x14ac:dyDescent="0.25"/>
    <row r="309" s="53" customFormat="1" x14ac:dyDescent="0.25"/>
    <row r="310" s="53" customFormat="1" x14ac:dyDescent="0.25"/>
    <row r="311" s="53" customFormat="1" x14ac:dyDescent="0.25"/>
    <row r="312" s="53" customFormat="1" x14ac:dyDescent="0.25"/>
    <row r="313" s="53" customFormat="1" x14ac:dyDescent="0.25"/>
    <row r="314" s="53" customFormat="1" x14ac:dyDescent="0.25"/>
    <row r="315" s="53" customFormat="1" x14ac:dyDescent="0.25"/>
    <row r="316" s="53" customFormat="1" x14ac:dyDescent="0.25"/>
    <row r="317" s="53" customFormat="1" x14ac:dyDescent="0.25"/>
    <row r="318" s="53" customFormat="1" x14ac:dyDescent="0.25"/>
    <row r="319" s="53" customFormat="1" x14ac:dyDescent="0.25"/>
    <row r="320" s="53" customFormat="1" x14ac:dyDescent="0.25"/>
    <row r="321" s="53" customFormat="1" x14ac:dyDescent="0.25"/>
    <row r="322" s="53" customFormat="1" x14ac:dyDescent="0.25"/>
    <row r="323" s="53" customFormat="1" x14ac:dyDescent="0.25"/>
    <row r="324" s="53" customFormat="1" x14ac:dyDescent="0.25"/>
    <row r="325" s="53" customFormat="1" x14ac:dyDescent="0.25"/>
    <row r="326" s="53" customFormat="1" x14ac:dyDescent="0.25"/>
    <row r="327" s="53" customFormat="1" x14ac:dyDescent="0.25"/>
    <row r="328" s="53" customFormat="1" x14ac:dyDescent="0.25"/>
    <row r="329" s="53" customFormat="1" x14ac:dyDescent="0.25"/>
    <row r="330" s="53" customFormat="1" x14ac:dyDescent="0.25"/>
    <row r="331" s="53" customFormat="1" x14ac:dyDescent="0.25"/>
    <row r="332" s="53" customFormat="1" x14ac:dyDescent="0.25"/>
    <row r="333" s="53" customFormat="1" x14ac:dyDescent="0.25"/>
    <row r="334" s="53" customFormat="1" x14ac:dyDescent="0.25"/>
    <row r="335" s="53" customFormat="1" x14ac:dyDescent="0.25"/>
    <row r="336" s="53" customFormat="1" x14ac:dyDescent="0.25"/>
    <row r="337" s="53" customFormat="1" x14ac:dyDescent="0.25"/>
    <row r="338" s="53" customFormat="1" x14ac:dyDescent="0.25"/>
    <row r="339" s="53" customFormat="1" x14ac:dyDescent="0.25"/>
    <row r="340" s="53" customFormat="1" x14ac:dyDescent="0.25"/>
    <row r="341" s="53" customFormat="1" x14ac:dyDescent="0.25"/>
    <row r="342" s="53" customFormat="1" x14ac:dyDescent="0.25"/>
    <row r="343" s="53" customFormat="1" x14ac:dyDescent="0.25"/>
    <row r="344" s="53" customFormat="1" x14ac:dyDescent="0.25"/>
    <row r="345" s="53" customFormat="1" x14ac:dyDescent="0.25"/>
    <row r="346" s="53" customFormat="1" x14ac:dyDescent="0.25"/>
    <row r="347" s="53" customFormat="1" x14ac:dyDescent="0.25"/>
    <row r="348" s="53" customFormat="1" x14ac:dyDescent="0.25"/>
    <row r="349" s="53" customFormat="1" x14ac:dyDescent="0.25"/>
    <row r="350" s="53" customFormat="1" x14ac:dyDescent="0.25"/>
    <row r="351" s="53" customFormat="1" x14ac:dyDescent="0.25"/>
    <row r="352" s="53" customFormat="1" x14ac:dyDescent="0.25"/>
    <row r="353" s="53" customFormat="1" x14ac:dyDescent="0.25"/>
    <row r="354" s="53" customFormat="1" x14ac:dyDescent="0.25"/>
    <row r="355" s="53" customFormat="1" x14ac:dyDescent="0.25"/>
    <row r="356" s="53" customFormat="1" x14ac:dyDescent="0.25"/>
    <row r="357" s="53" customFormat="1" x14ac:dyDescent="0.25"/>
    <row r="358" s="53" customFormat="1" x14ac:dyDescent="0.25"/>
    <row r="359" s="53" customFormat="1" x14ac:dyDescent="0.25"/>
    <row r="360" s="53" customFormat="1" x14ac:dyDescent="0.25"/>
    <row r="361" s="53" customFormat="1" x14ac:dyDescent="0.25"/>
    <row r="362" s="53" customFormat="1" x14ac:dyDescent="0.25"/>
    <row r="363" s="53" customFormat="1" x14ac:dyDescent="0.25"/>
    <row r="364" s="53" customFormat="1" x14ac:dyDescent="0.25"/>
    <row r="365" s="53" customFormat="1" x14ac:dyDescent="0.25"/>
    <row r="366" s="53" customFormat="1" x14ac:dyDescent="0.25"/>
    <row r="367" s="53" customFormat="1" x14ac:dyDescent="0.25"/>
    <row r="368" s="53" customFormat="1" x14ac:dyDescent="0.25"/>
    <row r="369" s="53" customFormat="1" x14ac:dyDescent="0.25"/>
    <row r="370" s="53" customFormat="1" x14ac:dyDescent="0.25"/>
    <row r="371" s="53" customFormat="1" x14ac:dyDescent="0.25"/>
    <row r="372" s="53" customFormat="1" x14ac:dyDescent="0.25"/>
    <row r="373" s="53" customFormat="1" x14ac:dyDescent="0.25"/>
    <row r="374" s="53" customFormat="1" x14ac:dyDescent="0.25"/>
    <row r="375" s="53" customFormat="1" x14ac:dyDescent="0.25"/>
    <row r="376" s="53" customFormat="1" x14ac:dyDescent="0.25"/>
    <row r="377" s="53" customFormat="1" x14ac:dyDescent="0.25"/>
    <row r="378" s="53" customFormat="1" x14ac:dyDescent="0.25"/>
    <row r="379" s="53" customFormat="1" x14ac:dyDescent="0.25"/>
    <row r="380" s="53" customFormat="1" x14ac:dyDescent="0.25"/>
    <row r="381" s="53" customFormat="1" x14ac:dyDescent="0.25"/>
    <row r="382" s="53" customFormat="1" x14ac:dyDescent="0.25"/>
    <row r="383" s="53" customFormat="1" x14ac:dyDescent="0.25"/>
    <row r="384" s="53" customFormat="1" x14ac:dyDescent="0.25"/>
    <row r="385" s="53" customFormat="1" x14ac:dyDescent="0.25"/>
    <row r="386" s="53" customFormat="1" x14ac:dyDescent="0.25"/>
    <row r="387" s="53" customFormat="1" x14ac:dyDescent="0.25"/>
    <row r="388" s="53" customFormat="1" x14ac:dyDescent="0.25"/>
    <row r="389" s="53" customFormat="1" x14ac:dyDescent="0.25"/>
    <row r="390" s="53" customFormat="1" x14ac:dyDescent="0.25"/>
    <row r="391" s="53" customFormat="1" x14ac:dyDescent="0.25"/>
    <row r="392" s="53" customFormat="1" x14ac:dyDescent="0.25"/>
    <row r="393" s="53" customFormat="1" x14ac:dyDescent="0.25"/>
    <row r="394" s="53" customFormat="1" x14ac:dyDescent="0.25"/>
    <row r="395" s="53" customFormat="1" x14ac:dyDescent="0.25"/>
    <row r="396" s="53" customFormat="1" x14ac:dyDescent="0.25"/>
    <row r="397" s="53" customFormat="1" x14ac:dyDescent="0.25"/>
    <row r="398" s="53" customFormat="1" x14ac:dyDescent="0.25"/>
    <row r="399" s="53" customFormat="1" x14ac:dyDescent="0.25"/>
    <row r="400" s="53" customFormat="1" x14ac:dyDescent="0.25"/>
    <row r="401" s="53" customFormat="1" x14ac:dyDescent="0.25"/>
    <row r="402" s="53" customFormat="1" x14ac:dyDescent="0.25"/>
    <row r="403" s="53" customFormat="1" x14ac:dyDescent="0.25"/>
    <row r="404" s="53" customFormat="1" x14ac:dyDescent="0.25"/>
    <row r="405" s="53" customFormat="1" x14ac:dyDescent="0.25"/>
    <row r="406" s="53" customFormat="1" x14ac:dyDescent="0.25"/>
    <row r="407" s="53" customFormat="1" x14ac:dyDescent="0.25"/>
    <row r="408" s="53" customFormat="1" x14ac:dyDescent="0.25"/>
    <row r="409" s="53" customFormat="1" x14ac:dyDescent="0.25"/>
    <row r="410" s="53" customFormat="1" x14ac:dyDescent="0.25"/>
    <row r="411" s="53" customFormat="1" x14ac:dyDescent="0.25"/>
    <row r="412" s="53" customFormat="1" x14ac:dyDescent="0.25"/>
    <row r="413" s="53" customFormat="1" x14ac:dyDescent="0.25"/>
    <row r="414" s="53" customFormat="1" x14ac:dyDescent="0.25"/>
    <row r="415" s="53" customFormat="1" x14ac:dyDescent="0.25"/>
    <row r="416" s="53" customFormat="1" x14ac:dyDescent="0.25"/>
    <row r="417" s="53" customFormat="1" x14ac:dyDescent="0.25"/>
    <row r="418" s="53" customFormat="1" x14ac:dyDescent="0.25"/>
    <row r="419" s="53" customFormat="1" x14ac:dyDescent="0.25"/>
    <row r="420" s="53" customFormat="1" x14ac:dyDescent="0.25"/>
    <row r="421" s="53" customFormat="1" x14ac:dyDescent="0.25"/>
    <row r="422" s="53" customFormat="1" x14ac:dyDescent="0.25"/>
    <row r="423" s="53" customFormat="1" x14ac:dyDescent="0.25"/>
    <row r="424" s="53" customFormat="1" x14ac:dyDescent="0.25"/>
    <row r="425" s="53" customFormat="1" x14ac:dyDescent="0.25"/>
    <row r="426" s="53" customFormat="1" x14ac:dyDescent="0.25"/>
    <row r="427" s="53" customFormat="1" x14ac:dyDescent="0.25"/>
    <row r="428" s="53" customFormat="1" x14ac:dyDescent="0.25"/>
    <row r="429" s="53" customFormat="1" x14ac:dyDescent="0.25"/>
    <row r="430" s="53" customFormat="1" x14ac:dyDescent="0.25"/>
    <row r="431" s="53" customFormat="1" x14ac:dyDescent="0.25"/>
    <row r="432" s="53" customFormat="1" x14ac:dyDescent="0.25"/>
    <row r="433" s="53" customFormat="1" x14ac:dyDescent="0.25"/>
    <row r="434" s="53" customFormat="1" x14ac:dyDescent="0.25"/>
    <row r="435" s="53" customFormat="1" x14ac:dyDescent="0.25"/>
    <row r="436" s="53" customFormat="1" x14ac:dyDescent="0.25"/>
    <row r="437" s="53" customFormat="1" x14ac:dyDescent="0.25"/>
    <row r="438" s="53" customFormat="1" x14ac:dyDescent="0.25"/>
    <row r="439" s="53" customFormat="1" x14ac:dyDescent="0.25"/>
    <row r="440" s="53" customFormat="1" x14ac:dyDescent="0.25"/>
    <row r="441" s="53" customFormat="1" x14ac:dyDescent="0.25"/>
    <row r="442" s="53" customFormat="1" x14ac:dyDescent="0.25"/>
    <row r="443" s="53" customFormat="1" x14ac:dyDescent="0.25"/>
    <row r="444" s="53" customFormat="1" x14ac:dyDescent="0.25"/>
    <row r="445" s="53" customFormat="1" x14ac:dyDescent="0.25"/>
    <row r="446" s="53" customFormat="1" x14ac:dyDescent="0.25"/>
    <row r="447" s="53" customFormat="1" x14ac:dyDescent="0.25"/>
    <row r="448" s="53" customFormat="1" x14ac:dyDescent="0.25"/>
    <row r="449" s="53" customFormat="1" x14ac:dyDescent="0.25"/>
    <row r="450" s="53" customFormat="1" x14ac:dyDescent="0.25"/>
    <row r="451" s="53" customFormat="1" x14ac:dyDescent="0.25"/>
    <row r="452" s="53" customFormat="1" x14ac:dyDescent="0.25"/>
    <row r="453" s="53" customFormat="1" x14ac:dyDescent="0.25"/>
    <row r="454" s="53" customFormat="1" x14ac:dyDescent="0.25"/>
    <row r="455" s="53" customFormat="1" x14ac:dyDescent="0.25"/>
    <row r="456" s="53" customFormat="1" x14ac:dyDescent="0.25"/>
    <row r="457" s="53" customFormat="1" x14ac:dyDescent="0.25"/>
    <row r="458" s="53" customFormat="1" x14ac:dyDescent="0.25"/>
    <row r="459" s="53" customFormat="1" x14ac:dyDescent="0.25"/>
    <row r="460" s="53" customFormat="1" x14ac:dyDescent="0.25"/>
    <row r="461" s="53" customFormat="1" x14ac:dyDescent="0.25"/>
    <row r="462" s="53" customFormat="1" x14ac:dyDescent="0.25"/>
    <row r="463" s="53" customFormat="1" x14ac:dyDescent="0.25"/>
    <row r="464" s="53" customFormat="1" x14ac:dyDescent="0.25"/>
    <row r="465" s="53" customFormat="1" x14ac:dyDescent="0.25"/>
    <row r="466" s="53" customFormat="1" x14ac:dyDescent="0.25"/>
    <row r="467" s="53" customFormat="1" x14ac:dyDescent="0.25"/>
    <row r="468" s="53" customFormat="1" x14ac:dyDescent="0.25"/>
    <row r="469" s="53" customFormat="1" x14ac:dyDescent="0.25"/>
    <row r="470" s="53" customFormat="1" x14ac:dyDescent="0.25"/>
    <row r="471" s="53" customFormat="1" x14ac:dyDescent="0.25"/>
    <row r="472" s="53" customFormat="1" x14ac:dyDescent="0.25"/>
    <row r="473" s="53" customFormat="1" x14ac:dyDescent="0.25"/>
    <row r="474" s="53" customFormat="1" x14ac:dyDescent="0.25"/>
    <row r="475" s="53" customFormat="1" x14ac:dyDescent="0.25"/>
    <row r="476" s="53" customFormat="1" x14ac:dyDescent="0.25"/>
    <row r="477" s="53" customFormat="1" x14ac:dyDescent="0.25"/>
    <row r="478" s="53" customFormat="1" x14ac:dyDescent="0.25"/>
    <row r="479" s="53" customFormat="1" x14ac:dyDescent="0.25"/>
    <row r="480" s="53" customFormat="1" x14ac:dyDescent="0.25"/>
    <row r="481" s="53" customFormat="1" x14ac:dyDescent="0.25"/>
    <row r="482" s="53" customFormat="1" x14ac:dyDescent="0.25"/>
    <row r="483" s="53" customFormat="1" x14ac:dyDescent="0.25"/>
    <row r="484" s="53" customFormat="1" x14ac:dyDescent="0.25"/>
    <row r="485" s="53" customFormat="1" x14ac:dyDescent="0.25"/>
    <row r="486" s="53" customFormat="1" x14ac:dyDescent="0.25"/>
    <row r="487" s="53" customFormat="1" x14ac:dyDescent="0.25"/>
    <row r="488" s="53" customFormat="1" x14ac:dyDescent="0.25"/>
    <row r="489" s="53" customFormat="1" x14ac:dyDescent="0.25"/>
    <row r="490" s="53" customFormat="1" x14ac:dyDescent="0.25"/>
    <row r="491" s="53" customFormat="1" x14ac:dyDescent="0.25"/>
    <row r="492" s="53" customFormat="1" x14ac:dyDescent="0.25"/>
    <row r="493" s="53" customFormat="1" x14ac:dyDescent="0.25"/>
    <row r="494" s="53" customFormat="1" x14ac:dyDescent="0.25"/>
    <row r="495" s="53" customFormat="1" x14ac:dyDescent="0.25"/>
    <row r="496" s="53" customFormat="1" x14ac:dyDescent="0.25"/>
    <row r="497" s="53" customFormat="1" x14ac:dyDescent="0.25"/>
    <row r="498" s="53" customFormat="1" x14ac:dyDescent="0.25"/>
    <row r="499" s="53" customFormat="1" x14ac:dyDescent="0.25"/>
    <row r="500" s="53" customFormat="1" x14ac:dyDescent="0.25"/>
    <row r="501" s="53" customFormat="1" x14ac:dyDescent="0.25"/>
    <row r="502" s="53" customFormat="1" x14ac:dyDescent="0.25"/>
    <row r="503" s="53" customFormat="1" x14ac:dyDescent="0.25"/>
    <row r="504" s="53" customFormat="1" x14ac:dyDescent="0.25"/>
    <row r="505" s="53" customFormat="1" x14ac:dyDescent="0.25"/>
    <row r="506" s="53" customFormat="1" x14ac:dyDescent="0.25"/>
    <row r="507" s="53" customFormat="1" x14ac:dyDescent="0.25"/>
    <row r="508" s="53" customFormat="1" x14ac:dyDescent="0.25"/>
    <row r="509" s="53" customFormat="1" x14ac:dyDescent="0.25"/>
    <row r="510" s="53" customFormat="1" x14ac:dyDescent="0.25"/>
    <row r="511" s="53" customFormat="1" x14ac:dyDescent="0.25"/>
    <row r="512" s="53" customFormat="1" x14ac:dyDescent="0.25"/>
    <row r="513" s="53" customFormat="1" x14ac:dyDescent="0.25"/>
    <row r="514" s="53" customFormat="1" x14ac:dyDescent="0.25"/>
    <row r="515" s="53" customFormat="1" x14ac:dyDescent="0.25"/>
    <row r="516" s="53" customFormat="1" x14ac:dyDescent="0.25"/>
    <row r="517" s="53" customFormat="1" x14ac:dyDescent="0.25"/>
    <row r="518" s="53" customFormat="1" x14ac:dyDescent="0.25"/>
    <row r="519" s="53" customFormat="1" x14ac:dyDescent="0.25"/>
    <row r="520" s="53" customFormat="1" x14ac:dyDescent="0.25"/>
    <row r="521" s="53" customFormat="1" x14ac:dyDescent="0.25"/>
    <row r="522" s="53" customFormat="1" x14ac:dyDescent="0.25"/>
    <row r="523" s="53" customFormat="1" x14ac:dyDescent="0.25"/>
    <row r="524" s="53" customFormat="1" x14ac:dyDescent="0.25"/>
    <row r="525" s="53" customFormat="1" x14ac:dyDescent="0.25"/>
    <row r="526" s="53" customFormat="1" x14ac:dyDescent="0.25"/>
    <row r="527" s="53" customFormat="1" x14ac:dyDescent="0.25"/>
    <row r="528" s="53" customFormat="1" x14ac:dyDescent="0.25"/>
    <row r="529" s="53" customFormat="1" x14ac:dyDescent="0.25"/>
    <row r="530" s="53" customFormat="1" x14ac:dyDescent="0.25"/>
    <row r="531" s="53" customFormat="1" x14ac:dyDescent="0.25"/>
    <row r="532" s="53" customFormat="1" x14ac:dyDescent="0.25"/>
    <row r="533" s="53" customFormat="1" x14ac:dyDescent="0.25"/>
    <row r="534" s="53" customFormat="1" x14ac:dyDescent="0.25"/>
    <row r="535" s="53" customFormat="1" x14ac:dyDescent="0.25"/>
    <row r="536" s="53" customFormat="1" x14ac:dyDescent="0.25"/>
    <row r="537" s="53" customFormat="1" x14ac:dyDescent="0.25"/>
    <row r="538" s="53" customFormat="1" x14ac:dyDescent="0.25"/>
    <row r="539" s="53" customFormat="1" x14ac:dyDescent="0.25"/>
    <row r="540" s="53" customFormat="1" x14ac:dyDescent="0.25"/>
    <row r="541" s="53" customFormat="1" x14ac:dyDescent="0.25"/>
    <row r="542" s="53" customFormat="1" x14ac:dyDescent="0.25"/>
    <row r="543" s="53" customFormat="1" x14ac:dyDescent="0.25"/>
    <row r="544" s="53" customFormat="1" x14ac:dyDescent="0.25"/>
    <row r="545" s="53" customFormat="1" x14ac:dyDescent="0.25"/>
    <row r="546" s="53" customFormat="1" x14ac:dyDescent="0.25"/>
    <row r="547" s="53" customFormat="1" x14ac:dyDescent="0.25"/>
    <row r="548" s="53" customFormat="1" x14ac:dyDescent="0.25"/>
    <row r="549" s="53" customFormat="1" x14ac:dyDescent="0.25"/>
    <row r="550" s="53" customFormat="1" x14ac:dyDescent="0.25"/>
    <row r="551" s="53" customFormat="1" x14ac:dyDescent="0.25"/>
    <row r="552" s="53" customFormat="1" x14ac:dyDescent="0.25"/>
    <row r="553" s="53" customFormat="1" x14ac:dyDescent="0.25"/>
    <row r="554" s="53" customFormat="1" x14ac:dyDescent="0.25"/>
    <row r="555" s="53" customFormat="1" x14ac:dyDescent="0.25"/>
    <row r="556" s="53" customFormat="1" x14ac:dyDescent="0.25"/>
    <row r="557" s="53" customFormat="1" x14ac:dyDescent="0.25"/>
    <row r="558" s="53" customFormat="1" x14ac:dyDescent="0.25"/>
    <row r="559" s="53" customFormat="1" x14ac:dyDescent="0.25"/>
    <row r="560" s="53" customFormat="1" x14ac:dyDescent="0.25"/>
    <row r="561" s="53" customFormat="1" x14ac:dyDescent="0.25"/>
    <row r="562" s="53" customFormat="1" x14ac:dyDescent="0.25"/>
    <row r="563" s="53" customFormat="1" x14ac:dyDescent="0.25"/>
    <row r="564" s="53" customFormat="1" x14ac:dyDescent="0.25"/>
    <row r="565" s="53" customFormat="1" x14ac:dyDescent="0.25"/>
    <row r="566" s="53" customFormat="1" x14ac:dyDescent="0.25"/>
    <row r="567" s="53" customFormat="1" x14ac:dyDescent="0.25"/>
    <row r="568" s="53" customFormat="1" x14ac:dyDescent="0.25"/>
    <row r="569" s="53" customFormat="1" x14ac:dyDescent="0.25"/>
    <row r="570" s="53" customFormat="1" x14ac:dyDescent="0.25"/>
    <row r="571" s="53" customFormat="1" x14ac:dyDescent="0.25"/>
    <row r="572" s="53" customFormat="1" x14ac:dyDescent="0.25"/>
    <row r="573" s="53" customFormat="1" x14ac:dyDescent="0.25"/>
    <row r="574" s="53" customFormat="1" x14ac:dyDescent="0.25"/>
    <row r="575" s="53" customFormat="1" x14ac:dyDescent="0.25"/>
    <row r="576" s="53" customFormat="1" x14ac:dyDescent="0.25"/>
    <row r="577" s="53" customFormat="1" x14ac:dyDescent="0.25"/>
    <row r="578" s="53" customFormat="1" x14ac:dyDescent="0.25"/>
    <row r="579" s="53" customFormat="1" x14ac:dyDescent="0.25"/>
    <row r="580" s="53" customFormat="1" x14ac:dyDescent="0.25"/>
    <row r="581" s="53" customFormat="1" x14ac:dyDescent="0.25"/>
    <row r="582" s="53" customFormat="1" x14ac:dyDescent="0.25"/>
    <row r="583" s="53" customFormat="1" x14ac:dyDescent="0.25"/>
    <row r="584" s="53" customFormat="1" x14ac:dyDescent="0.25"/>
    <row r="585" s="53" customFormat="1" x14ac:dyDescent="0.25"/>
    <row r="586" s="53" customFormat="1" x14ac:dyDescent="0.25"/>
    <row r="587" s="53" customFormat="1" x14ac:dyDescent="0.25"/>
    <row r="588" s="53" customFormat="1" x14ac:dyDescent="0.25"/>
    <row r="589" s="53" customFormat="1" x14ac:dyDescent="0.25"/>
    <row r="590" s="53" customFormat="1" x14ac:dyDescent="0.25"/>
    <row r="591" s="53" customFormat="1" x14ac:dyDescent="0.25"/>
    <row r="592" s="53" customFormat="1" x14ac:dyDescent="0.25"/>
    <row r="593" s="53" customFormat="1" x14ac:dyDescent="0.25"/>
    <row r="594" s="53" customFormat="1" x14ac:dyDescent="0.25"/>
    <row r="595" s="53" customFormat="1" x14ac:dyDescent="0.25"/>
    <row r="596" s="53" customFormat="1" x14ac:dyDescent="0.25"/>
    <row r="597" s="53" customFormat="1" x14ac:dyDescent="0.25"/>
    <row r="598" s="53" customFormat="1" x14ac:dyDescent="0.25"/>
    <row r="599" s="53" customFormat="1" x14ac:dyDescent="0.25"/>
    <row r="600" s="53" customFormat="1" x14ac:dyDescent="0.25"/>
    <row r="601" s="53" customFormat="1" x14ac:dyDescent="0.25"/>
  </sheetData>
  <sortState xmlns:xlrd2="http://schemas.microsoft.com/office/spreadsheetml/2017/richdata2" ref="A1:EN599">
    <sortCondition ref="C26"/>
  </sortState>
  <mergeCells count="57">
    <mergeCell ref="N31:P31"/>
    <mergeCell ref="N32:P32"/>
    <mergeCell ref="N33:P33"/>
    <mergeCell ref="N107:P107"/>
    <mergeCell ref="N64:R64"/>
    <mergeCell ref="N26:P26"/>
    <mergeCell ref="N27:P27"/>
    <mergeCell ref="N28:P28"/>
    <mergeCell ref="N29:P29"/>
    <mergeCell ref="N30:P30"/>
    <mergeCell ref="Y71:AA71"/>
    <mergeCell ref="N86:P86"/>
    <mergeCell ref="N87:P87"/>
    <mergeCell ref="Y72:AA72"/>
    <mergeCell ref="N82:P82"/>
    <mergeCell ref="N83:P83"/>
    <mergeCell ref="N84:P84"/>
    <mergeCell ref="N85:P85"/>
    <mergeCell ref="U76:V76"/>
    <mergeCell ref="U77:V78"/>
    <mergeCell ref="W77:W78"/>
    <mergeCell ref="U79:V79"/>
    <mergeCell ref="U71:V71"/>
    <mergeCell ref="U72:V72"/>
    <mergeCell ref="C106:K106"/>
    <mergeCell ref="H12:K16"/>
    <mergeCell ref="H17:K20"/>
    <mergeCell ref="C22:K22"/>
    <mergeCell ref="C63:K63"/>
    <mergeCell ref="B64:K64"/>
    <mergeCell ref="C65:K65"/>
    <mergeCell ref="C104:K104"/>
    <mergeCell ref="B105:K105"/>
    <mergeCell ref="I2:K2"/>
    <mergeCell ref="E1:G1"/>
    <mergeCell ref="E2:G2"/>
    <mergeCell ref="C24:K24"/>
    <mergeCell ref="B23:K23"/>
    <mergeCell ref="U64:V64"/>
    <mergeCell ref="N65:O65"/>
    <mergeCell ref="Q65:R65"/>
    <mergeCell ref="U65:V65"/>
    <mergeCell ref="U73:V73"/>
    <mergeCell ref="U66:V66"/>
    <mergeCell ref="U67:V67"/>
    <mergeCell ref="U68:V68"/>
    <mergeCell ref="U69:V69"/>
    <mergeCell ref="U70:W70"/>
    <mergeCell ref="N114:P114"/>
    <mergeCell ref="N111:P111"/>
    <mergeCell ref="N112:P112"/>
    <mergeCell ref="N113:P113"/>
    <mergeCell ref="U74:V74"/>
    <mergeCell ref="V75:W75"/>
    <mergeCell ref="N110:P110"/>
    <mergeCell ref="N108:P108"/>
    <mergeCell ref="N109:P109"/>
  </mergeCells>
  <dataValidations disablePrompts="1" count="2">
    <dataValidation type="list" allowBlank="1" showInputMessage="1" showErrorMessage="1" sqref="W76" xr:uid="{00000000-0002-0000-0300-000000000000}">
      <formula1>"2x8, 2x10"</formula1>
    </dataValidation>
    <dataValidation type="list" allowBlank="1" showInputMessage="1" showErrorMessage="1" sqref="W77:W78" xr:uid="{00000000-0002-0000-0300-000001000000}">
      <formula1>"Yes, No"</formula1>
    </dataValidation>
  </dataValidations>
  <pageMargins left="0.25" right="0.25"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2000000}">
          <x14:formula1>
            <xm:f>'Design Loads'!$C$65:$K$65</xm:f>
          </x14:formula1>
          <xm:sqref>W69</xm:sqref>
        </x14:dataValidation>
        <x14:dataValidation type="list" allowBlank="1" showInputMessage="1" showErrorMessage="1" xr:uid="{00000000-0002-0000-0300-000003000000}">
          <x14:formula1>
            <xm:f>'Design Loads'!$C$31:$K$31</xm:f>
          </x14:formula1>
          <xm:sqref>Q77 W68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G601"/>
  <sheetViews>
    <sheetView showGridLines="0" topLeftCell="A100" zoomScale="70" zoomScaleNormal="70" workbookViewId="0">
      <selection activeCell="P129" sqref="P129"/>
    </sheetView>
  </sheetViews>
  <sheetFormatPr defaultRowHeight="15" x14ac:dyDescent="0.25"/>
  <cols>
    <col min="1" max="1" width="3.7109375" customWidth="1"/>
    <col min="12" max="12" width="3.7109375" customWidth="1"/>
    <col min="13" max="137" width="9.140625" style="53"/>
  </cols>
  <sheetData>
    <row r="1" spans="1:15" ht="15.75" customHeight="1" thickBot="1" x14ac:dyDescent="0.3">
      <c r="E1" s="256" t="s">
        <v>162</v>
      </c>
      <c r="F1" s="256"/>
      <c r="G1" s="256"/>
    </row>
    <row r="2" spans="1:15" ht="15.75" customHeight="1" x14ac:dyDescent="0.25">
      <c r="A2" s="1"/>
      <c r="B2" s="1"/>
      <c r="C2" s="1"/>
      <c r="D2" s="1"/>
      <c r="E2" s="230" t="s">
        <v>163</v>
      </c>
      <c r="F2" s="230"/>
      <c r="G2" s="230"/>
      <c r="H2" s="1"/>
      <c r="I2" s="263" t="s">
        <v>133</v>
      </c>
      <c r="J2" s="264"/>
      <c r="K2" s="265"/>
      <c r="L2" s="1"/>
      <c r="M2" s="37"/>
      <c r="N2" s="37"/>
      <c r="O2" s="37"/>
    </row>
    <row r="3" spans="1:15" ht="15.75" customHeight="1" x14ac:dyDescent="0.25">
      <c r="A3" s="1"/>
      <c r="B3" s="1"/>
      <c r="C3" s="1"/>
      <c r="D3" s="1"/>
      <c r="E3" s="1"/>
      <c r="F3" s="1"/>
      <c r="G3" s="1"/>
      <c r="H3" s="1"/>
      <c r="I3" s="3" t="s">
        <v>134</v>
      </c>
      <c r="J3" s="4">
        <v>2.9380000000000002</v>
      </c>
      <c r="K3" s="5" t="s">
        <v>135</v>
      </c>
      <c r="L3" s="1"/>
      <c r="M3" s="37"/>
      <c r="N3" s="37"/>
      <c r="O3" s="37"/>
    </row>
    <row r="4" spans="1:15" ht="15.75" customHeight="1" x14ac:dyDescent="0.25">
      <c r="A4" s="1"/>
      <c r="B4" s="1"/>
      <c r="C4" s="1"/>
      <c r="D4" s="1"/>
      <c r="E4" s="1"/>
      <c r="F4" s="1"/>
      <c r="G4" s="1"/>
      <c r="H4" s="1"/>
      <c r="I4" s="3" t="s">
        <v>136</v>
      </c>
      <c r="J4" s="4">
        <v>31.498999999999999</v>
      </c>
      <c r="K4" s="5" t="s">
        <v>137</v>
      </c>
      <c r="L4" s="1"/>
      <c r="M4" s="37"/>
      <c r="N4" s="37"/>
      <c r="O4" s="37"/>
    </row>
    <row r="5" spans="1:15" ht="15.75" customHeight="1" x14ac:dyDescent="0.25">
      <c r="A5" s="1"/>
      <c r="B5" s="1"/>
      <c r="C5" s="1"/>
      <c r="D5" s="1"/>
      <c r="E5" s="1"/>
      <c r="F5" s="1"/>
      <c r="G5" s="1"/>
      <c r="H5" s="1"/>
      <c r="I5" s="3" t="s">
        <v>138</v>
      </c>
      <c r="J5" s="4">
        <v>2.3119999999999998</v>
      </c>
      <c r="K5" s="5" t="s">
        <v>137</v>
      </c>
      <c r="L5" s="1"/>
      <c r="M5" s="37"/>
      <c r="N5" s="37"/>
      <c r="O5" s="37"/>
    </row>
    <row r="6" spans="1:15" ht="15.75" customHeight="1" x14ac:dyDescent="0.25">
      <c r="A6" s="1"/>
      <c r="B6" s="1"/>
      <c r="C6" s="1"/>
      <c r="D6" s="1"/>
      <c r="E6" s="1"/>
      <c r="F6" s="1"/>
      <c r="G6" s="1"/>
      <c r="H6" s="1"/>
      <c r="I6" s="3" t="s">
        <v>139</v>
      </c>
      <c r="J6" s="4">
        <v>6.2990000000000004</v>
      </c>
      <c r="K6" s="5" t="s">
        <v>140</v>
      </c>
      <c r="L6" s="1"/>
      <c r="M6" s="37"/>
      <c r="N6" s="37"/>
      <c r="O6" s="37"/>
    </row>
    <row r="7" spans="1:15" ht="15.75" customHeight="1" x14ac:dyDescent="0.25">
      <c r="A7" s="1"/>
      <c r="B7" s="1"/>
      <c r="C7" s="1"/>
      <c r="D7" s="1"/>
      <c r="E7" s="1"/>
      <c r="F7" s="1"/>
      <c r="G7" s="1"/>
      <c r="H7" s="1"/>
      <c r="I7" s="3" t="s">
        <v>141</v>
      </c>
      <c r="J7" s="4">
        <v>2.3119999999999998</v>
      </c>
      <c r="K7" s="5" t="s">
        <v>140</v>
      </c>
      <c r="L7" s="1"/>
      <c r="M7" s="37"/>
      <c r="N7" s="37"/>
      <c r="O7" s="37"/>
    </row>
    <row r="8" spans="1:15" ht="15.75" customHeight="1" thickBot="1" x14ac:dyDescent="0.3">
      <c r="A8" s="1"/>
      <c r="B8" s="1"/>
      <c r="C8" s="1"/>
      <c r="D8" s="1"/>
      <c r="E8" s="1"/>
      <c r="F8" s="1"/>
      <c r="G8" s="1"/>
      <c r="H8" s="1"/>
      <c r="I8" s="6" t="s">
        <v>143</v>
      </c>
      <c r="J8" s="7">
        <v>8.3330000000000002</v>
      </c>
      <c r="K8" s="8" t="s">
        <v>137</v>
      </c>
      <c r="L8" s="1"/>
      <c r="M8" s="37"/>
      <c r="N8" s="37"/>
      <c r="O8" s="37"/>
    </row>
    <row r="9" spans="1:15" ht="15.75" customHeight="1" x14ac:dyDescent="0.25">
      <c r="A9" s="1"/>
      <c r="B9" s="1"/>
      <c r="C9" s="1"/>
      <c r="D9" s="1"/>
      <c r="E9" s="1"/>
      <c r="F9" s="1"/>
      <c r="G9" s="1"/>
      <c r="H9" s="1"/>
      <c r="I9" s="1"/>
      <c r="J9" s="1"/>
      <c r="K9" s="1"/>
      <c r="L9" s="1"/>
      <c r="M9" s="37"/>
      <c r="N9" s="37"/>
      <c r="O9" s="37"/>
    </row>
    <row r="10" spans="1:15" ht="15.75" customHeight="1" x14ac:dyDescent="0.25">
      <c r="A10" s="1"/>
      <c r="B10" s="1"/>
      <c r="C10" s="1"/>
      <c r="D10" s="1"/>
      <c r="E10" s="1"/>
      <c r="F10" s="1"/>
      <c r="G10" s="1"/>
      <c r="H10" s="1"/>
      <c r="I10" s="1"/>
      <c r="J10" s="1"/>
      <c r="K10" s="1"/>
      <c r="L10" s="1"/>
      <c r="M10" s="37"/>
      <c r="N10" s="37"/>
      <c r="O10" s="37"/>
    </row>
    <row r="11" spans="1:15" ht="15.75" customHeight="1" x14ac:dyDescent="0.25">
      <c r="A11" s="1"/>
      <c r="B11" s="1"/>
      <c r="C11" s="1"/>
      <c r="D11" s="1"/>
      <c r="E11" s="1"/>
      <c r="F11" s="1"/>
      <c r="G11" s="1"/>
      <c r="H11" s="1" t="s">
        <v>103</v>
      </c>
      <c r="I11" s="1"/>
      <c r="J11" s="1"/>
      <c r="K11" s="1"/>
      <c r="L11" s="1"/>
      <c r="M11" s="37"/>
      <c r="N11" s="37"/>
      <c r="O11" s="37"/>
    </row>
    <row r="12" spans="1:15" ht="15.75" customHeight="1" x14ac:dyDescent="0.25">
      <c r="A12" s="1"/>
      <c r="B12" s="1"/>
      <c r="C12" s="1"/>
      <c r="D12" s="1"/>
      <c r="E12" s="1"/>
      <c r="F12" s="1"/>
      <c r="G12" s="1"/>
      <c r="H12" s="236" t="s">
        <v>164</v>
      </c>
      <c r="I12" s="236"/>
      <c r="J12" s="236"/>
      <c r="K12" s="236"/>
      <c r="L12" s="1"/>
      <c r="M12" s="37"/>
      <c r="N12" s="37"/>
      <c r="O12" s="37"/>
    </row>
    <row r="13" spans="1:15" ht="15.75" customHeight="1" x14ac:dyDescent="0.25">
      <c r="A13" s="1"/>
      <c r="B13" s="1"/>
      <c r="C13" s="1"/>
      <c r="D13" s="1"/>
      <c r="E13" s="1"/>
      <c r="F13" s="1"/>
      <c r="G13" s="1"/>
      <c r="H13" s="236"/>
      <c r="I13" s="236"/>
      <c r="J13" s="236"/>
      <c r="K13" s="236"/>
      <c r="L13" s="1"/>
      <c r="M13" s="37"/>
      <c r="N13" s="37"/>
      <c r="O13" s="37"/>
    </row>
    <row r="14" spans="1:15" ht="15.75" customHeight="1" x14ac:dyDescent="0.25">
      <c r="A14" s="1"/>
      <c r="B14" s="1"/>
      <c r="C14" s="1"/>
      <c r="D14" s="1"/>
      <c r="E14" s="1"/>
      <c r="F14" s="1"/>
      <c r="G14" s="1"/>
      <c r="H14" s="236"/>
      <c r="I14" s="236"/>
      <c r="J14" s="236"/>
      <c r="K14" s="236"/>
      <c r="L14" s="1"/>
      <c r="M14" s="37"/>
      <c r="N14" s="37"/>
      <c r="O14" s="37"/>
    </row>
    <row r="15" spans="1:15" ht="15.75" customHeight="1" x14ac:dyDescent="0.25">
      <c r="A15" s="1"/>
      <c r="B15" s="1"/>
      <c r="C15" s="1"/>
      <c r="D15" s="1"/>
      <c r="E15" s="1"/>
      <c r="F15" s="1"/>
      <c r="G15" s="1"/>
      <c r="H15" s="236"/>
      <c r="I15" s="236"/>
      <c r="J15" s="236"/>
      <c r="K15" s="236"/>
      <c r="L15" s="1"/>
      <c r="M15" s="37"/>
      <c r="N15" s="37"/>
      <c r="O15" s="37"/>
    </row>
    <row r="16" spans="1:15" ht="15.75" customHeight="1" x14ac:dyDescent="0.25">
      <c r="A16" s="1"/>
      <c r="B16" s="1"/>
      <c r="C16" s="1"/>
      <c r="D16" s="1"/>
      <c r="E16" s="1"/>
      <c r="F16" s="1"/>
      <c r="G16" s="1"/>
      <c r="H16" s="236"/>
      <c r="I16" s="236"/>
      <c r="J16" s="236"/>
      <c r="K16" s="236"/>
      <c r="L16" s="1"/>
      <c r="M16" s="37"/>
      <c r="N16" s="37"/>
      <c r="O16" s="37"/>
    </row>
    <row r="17" spans="1:22" ht="15.75" customHeight="1" x14ac:dyDescent="0.25">
      <c r="A17" s="1"/>
      <c r="B17" s="1"/>
      <c r="C17" s="1"/>
      <c r="D17" s="1"/>
      <c r="E17" s="1"/>
      <c r="F17" s="1"/>
      <c r="G17" s="1"/>
      <c r="H17" s="236" t="s">
        <v>165</v>
      </c>
      <c r="I17" s="236"/>
      <c r="J17" s="236"/>
      <c r="K17" s="236"/>
      <c r="L17" s="1"/>
      <c r="M17" s="37"/>
      <c r="N17" s="37"/>
      <c r="O17" s="37"/>
    </row>
    <row r="18" spans="1:22" ht="15.75" customHeight="1" x14ac:dyDescent="0.25">
      <c r="A18" s="1"/>
      <c r="B18" s="1"/>
      <c r="C18" s="1"/>
      <c r="D18" s="1"/>
      <c r="E18" s="1"/>
      <c r="F18" s="1"/>
      <c r="G18" s="1"/>
      <c r="H18" s="236"/>
      <c r="I18" s="236"/>
      <c r="J18" s="236"/>
      <c r="K18" s="236"/>
      <c r="L18" s="1"/>
      <c r="M18" s="37"/>
      <c r="N18" s="37"/>
      <c r="O18" s="37"/>
    </row>
    <row r="19" spans="1:22" ht="15.75" customHeight="1" x14ac:dyDescent="0.25">
      <c r="A19" s="1"/>
      <c r="B19" s="1"/>
      <c r="C19" s="1"/>
      <c r="D19" s="1"/>
      <c r="E19" s="1"/>
      <c r="F19" s="1"/>
      <c r="G19" s="1"/>
      <c r="H19" s="236"/>
      <c r="I19" s="236"/>
      <c r="J19" s="236"/>
      <c r="K19" s="236"/>
      <c r="L19" s="1"/>
      <c r="M19" s="37"/>
      <c r="N19" s="37"/>
      <c r="O19" s="37"/>
    </row>
    <row r="20" spans="1:22" ht="15.75" customHeight="1" x14ac:dyDescent="0.25">
      <c r="A20" s="1"/>
      <c r="B20" s="1"/>
      <c r="C20" s="1"/>
      <c r="D20" s="1"/>
      <c r="E20" s="1"/>
      <c r="F20" s="1"/>
      <c r="G20" s="1"/>
      <c r="H20" s="236"/>
      <c r="I20" s="236"/>
      <c r="J20" s="236"/>
      <c r="K20" s="236"/>
      <c r="L20" s="1"/>
      <c r="M20" s="37"/>
      <c r="N20" s="37"/>
      <c r="O20" s="37"/>
    </row>
    <row r="21" spans="1:22" ht="15.75" customHeight="1" x14ac:dyDescent="0.25">
      <c r="A21" s="1"/>
      <c r="B21" s="1"/>
      <c r="C21" s="1"/>
      <c r="D21" s="1"/>
      <c r="E21" s="1"/>
      <c r="F21" s="1"/>
      <c r="G21" s="1"/>
      <c r="H21" s="1"/>
      <c r="I21" s="1"/>
      <c r="J21" s="1"/>
      <c r="K21" s="1"/>
      <c r="L21" s="1"/>
      <c r="M21" s="37"/>
      <c r="N21" s="37"/>
      <c r="O21" s="37"/>
    </row>
    <row r="22" spans="1:22" ht="15.75" customHeight="1" thickBot="1" x14ac:dyDescent="0.3">
      <c r="A22" s="1"/>
      <c r="B22" s="52" t="s">
        <v>195</v>
      </c>
      <c r="C22" s="229" t="s">
        <v>196</v>
      </c>
      <c r="D22" s="229"/>
      <c r="E22" s="229"/>
      <c r="F22" s="229"/>
      <c r="G22" s="229"/>
      <c r="H22" s="229"/>
      <c r="I22" s="229"/>
      <c r="J22" s="229"/>
      <c r="K22" s="229"/>
      <c r="L22" s="1"/>
      <c r="M22" s="37"/>
      <c r="N22" s="37"/>
      <c r="O22" s="37"/>
    </row>
    <row r="23" spans="1:22" ht="15.75" customHeight="1" thickBot="1" x14ac:dyDescent="0.3">
      <c r="A23" s="1"/>
      <c r="B23" s="300" t="s">
        <v>168</v>
      </c>
      <c r="C23" s="301"/>
      <c r="D23" s="301"/>
      <c r="E23" s="301"/>
      <c r="F23" s="301"/>
      <c r="G23" s="301"/>
      <c r="H23" s="301"/>
      <c r="I23" s="301"/>
      <c r="J23" s="301"/>
      <c r="K23" s="302"/>
      <c r="L23" s="1"/>
      <c r="M23" s="37"/>
      <c r="N23" s="315" t="s">
        <v>172</v>
      </c>
      <c r="O23" s="316"/>
      <c r="P23" s="317"/>
      <c r="Q23" s="37"/>
      <c r="R23" s="37"/>
      <c r="S23" s="37"/>
      <c r="T23" s="37"/>
      <c r="U23" s="37"/>
      <c r="V23" s="37"/>
    </row>
    <row r="24" spans="1:22" ht="15.75" customHeight="1" thickBot="1" x14ac:dyDescent="0.3">
      <c r="A24" s="1"/>
      <c r="B24" s="51" t="s">
        <v>169</v>
      </c>
      <c r="C24" s="298" t="s">
        <v>170</v>
      </c>
      <c r="D24" s="298"/>
      <c r="E24" s="298"/>
      <c r="F24" s="298"/>
      <c r="G24" s="298"/>
      <c r="H24" s="298"/>
      <c r="I24" s="298"/>
      <c r="J24" s="298"/>
      <c r="K24" s="299"/>
      <c r="L24" s="1"/>
      <c r="M24" s="37"/>
      <c r="N24" s="282">
        <f>W64*12</f>
        <v>117.33333333333331</v>
      </c>
      <c r="O24" s="283"/>
      <c r="P24" s="284"/>
      <c r="Q24" s="98">
        <f>MATCH(N24,C25:G25,0)</f>
        <v>1</v>
      </c>
      <c r="R24" s="37"/>
      <c r="S24" s="37"/>
      <c r="T24" s="37"/>
      <c r="U24" s="37"/>
      <c r="V24" s="37"/>
    </row>
    <row r="25" spans="1:22" ht="15.75" customHeight="1" thickBot="1" x14ac:dyDescent="0.3">
      <c r="A25" s="1"/>
      <c r="B25" s="27" t="s">
        <v>171</v>
      </c>
      <c r="C25" s="94">
        <f>N24</f>
        <v>117.33333333333331</v>
      </c>
      <c r="D25" s="94">
        <f>(+C25+6)</f>
        <v>123.33333333333331</v>
      </c>
      <c r="E25" s="94">
        <f t="shared" ref="E25:K25" si="0">(+D25+6)</f>
        <v>129.33333333333331</v>
      </c>
      <c r="F25" s="94">
        <f t="shared" si="0"/>
        <v>135.33333333333331</v>
      </c>
      <c r="G25" s="94">
        <f t="shared" si="0"/>
        <v>141.33333333333331</v>
      </c>
      <c r="H25" s="94">
        <f t="shared" si="0"/>
        <v>147.33333333333331</v>
      </c>
      <c r="I25" s="94">
        <f t="shared" si="0"/>
        <v>153.33333333333331</v>
      </c>
      <c r="J25" s="94">
        <f t="shared" si="0"/>
        <v>159.33333333333331</v>
      </c>
      <c r="K25" s="94">
        <f t="shared" si="0"/>
        <v>165.33333333333331</v>
      </c>
      <c r="L25" s="1"/>
      <c r="M25" s="37"/>
      <c r="N25" s="269" t="s">
        <v>173</v>
      </c>
      <c r="O25" s="270"/>
      <c r="P25" s="271"/>
      <c r="Q25" s="96"/>
      <c r="R25" s="37"/>
      <c r="S25" s="37"/>
      <c r="T25" s="37"/>
      <c r="U25" s="37"/>
      <c r="V25" s="37"/>
    </row>
    <row r="26" spans="1:22" ht="15.75" customHeight="1" thickBot="1" x14ac:dyDescent="0.3">
      <c r="A26" s="1"/>
      <c r="B26" s="25">
        <f t="shared" ref="B26:B57" si="1">+B27+6</f>
        <v>300</v>
      </c>
      <c r="C26" s="14">
        <f>ROUNDUP(+MIN((15000*8*$J$6*144)/(C$25*$B26^2),(($B26/120)*384*144*10000000*$J$4)/(5*C$25*$B26^4)),0)</f>
        <v>10</v>
      </c>
      <c r="D26" s="15">
        <f t="shared" ref="D26:K41" si="2">+MIN((15000*8*$J$6*144)/(D$25*$B26^2),(($B26/120)*384*144*10000000*$J$4)/(5*D$25*$B26^4))</f>
        <v>8.7175610810810831</v>
      </c>
      <c r="E26" s="15">
        <f t="shared" si="2"/>
        <v>8.3131381443298977</v>
      </c>
      <c r="F26" s="15">
        <f t="shared" si="2"/>
        <v>7.9445753694581294</v>
      </c>
      <c r="G26" s="15">
        <f t="shared" si="2"/>
        <v>7.6073056603773601</v>
      </c>
      <c r="H26" s="15">
        <f t="shared" si="2"/>
        <v>7.297505882352942</v>
      </c>
      <c r="I26" s="15">
        <f t="shared" si="2"/>
        <v>7.0119513043478268</v>
      </c>
      <c r="J26" s="15">
        <f t="shared" si="2"/>
        <v>6.7479029288702943</v>
      </c>
      <c r="K26" s="16">
        <f t="shared" si="2"/>
        <v>6.5030193548387105</v>
      </c>
      <c r="L26" s="1"/>
      <c r="M26" s="37"/>
      <c r="N26" s="338">
        <f>ROUNDUP(('Design Loads'!Q57),0)</f>
        <v>22</v>
      </c>
      <c r="O26" s="268"/>
      <c r="P26" s="339"/>
      <c r="Q26" s="102">
        <f>MATCH(N26,C26:C60,1)</f>
        <v>16</v>
      </c>
      <c r="R26" s="37"/>
      <c r="S26" s="37"/>
      <c r="T26" s="37"/>
      <c r="U26" s="37"/>
      <c r="V26" s="37"/>
    </row>
    <row r="27" spans="1:22" ht="15.75" customHeight="1" thickBot="1" x14ac:dyDescent="0.3">
      <c r="A27" s="1"/>
      <c r="B27" s="25">
        <f t="shared" si="1"/>
        <v>294</v>
      </c>
      <c r="C27" s="14">
        <f t="shared" ref="C27:C59" si="3">ROUNDUP(+MIN((15000*8*$J$6*144)/(C$25*$B27^2),(($B27/120)*384*144*10000000*$J$4)/(5*C$25*$B27^4)),0)</f>
        <v>10</v>
      </c>
      <c r="D27" s="13">
        <f t="shared" si="2"/>
        <v>9.2622558214275976</v>
      </c>
      <c r="E27" s="13">
        <f t="shared" si="2"/>
        <v>8.8325635410520906</v>
      </c>
      <c r="F27" s="13">
        <f t="shared" si="2"/>
        <v>8.4409720540103717</v>
      </c>
      <c r="G27" s="13">
        <f t="shared" si="2"/>
        <v>8.0826289007740826</v>
      </c>
      <c r="H27" s="13">
        <f t="shared" si="2"/>
        <v>7.7534720677108844</v>
      </c>
      <c r="I27" s="13">
        <f t="shared" si="2"/>
        <v>7.4500753346265451</v>
      </c>
      <c r="J27" s="13">
        <f t="shared" si="2"/>
        <v>7.16952856470337</v>
      </c>
      <c r="K27" s="18">
        <f t="shared" si="2"/>
        <v>6.9093440603391345</v>
      </c>
      <c r="L27" s="1"/>
      <c r="M27" s="37"/>
      <c r="N27" s="340" t="s">
        <v>174</v>
      </c>
      <c r="O27" s="341"/>
      <c r="P27" s="342"/>
      <c r="Q27" s="125"/>
      <c r="R27" s="101"/>
      <c r="S27" s="37"/>
      <c r="T27" s="37"/>
      <c r="U27" s="37"/>
      <c r="V27" s="37"/>
    </row>
    <row r="28" spans="1:22" ht="15.75" customHeight="1" thickBot="1" x14ac:dyDescent="0.3">
      <c r="A28" s="1"/>
      <c r="B28" s="25">
        <f t="shared" si="1"/>
        <v>288</v>
      </c>
      <c r="C28" s="14">
        <f t="shared" si="3"/>
        <v>11</v>
      </c>
      <c r="D28" s="13">
        <f t="shared" si="2"/>
        <v>9.8532907907907923</v>
      </c>
      <c r="E28" s="13">
        <f t="shared" si="2"/>
        <v>9.3961793623520453</v>
      </c>
      <c r="F28" s="13">
        <f t="shared" si="2"/>
        <v>8.9795999817551557</v>
      </c>
      <c r="G28" s="13">
        <f t="shared" si="2"/>
        <v>8.598390548567437</v>
      </c>
      <c r="H28" s="13">
        <f t="shared" si="2"/>
        <v>8.2482298474945548</v>
      </c>
      <c r="I28" s="13">
        <f t="shared" si="2"/>
        <v>7.9254730273752028</v>
      </c>
      <c r="J28" s="13">
        <f t="shared" si="2"/>
        <v>7.6270242522857599</v>
      </c>
      <c r="K28" s="18">
        <f t="shared" si="2"/>
        <v>7.3502370818399054</v>
      </c>
      <c r="L28" s="1"/>
      <c r="M28" s="37"/>
      <c r="N28" s="344">
        <f>INDEX(B26:B60,MATCH(N26,C26:C60,1),1)</f>
        <v>210</v>
      </c>
      <c r="O28" s="345"/>
      <c r="P28" s="346"/>
      <c r="R28" s="37"/>
      <c r="S28" s="37"/>
      <c r="T28" s="37"/>
      <c r="U28" s="37"/>
      <c r="V28" s="37"/>
    </row>
    <row r="29" spans="1:22" ht="15.75" customHeight="1" thickBot="1" x14ac:dyDescent="0.3">
      <c r="A29" s="1"/>
      <c r="B29" s="25">
        <f t="shared" si="1"/>
        <v>282</v>
      </c>
      <c r="C29" s="14">
        <f t="shared" si="3"/>
        <v>12</v>
      </c>
      <c r="D29" s="13">
        <f t="shared" si="2"/>
        <v>10.495700713089926</v>
      </c>
      <c r="E29" s="13">
        <f t="shared" si="2"/>
        <v>10.008786762482661</v>
      </c>
      <c r="F29" s="13">
        <f t="shared" si="2"/>
        <v>9.5650474478898335</v>
      </c>
      <c r="G29" s="13">
        <f t="shared" si="2"/>
        <v>9.1589841128379064</v>
      </c>
      <c r="H29" s="13">
        <f t="shared" si="2"/>
        <v>8.7859938096001642</v>
      </c>
      <c r="I29" s="13">
        <f t="shared" si="2"/>
        <v>8.4421940518332015</v>
      </c>
      <c r="J29" s="13">
        <f t="shared" si="2"/>
        <v>8.1242871628520348</v>
      </c>
      <c r="K29" s="18">
        <f t="shared" si="2"/>
        <v>7.8294541609743398</v>
      </c>
      <c r="L29" s="1"/>
      <c r="M29" s="37"/>
      <c r="N29" s="285" t="s">
        <v>175</v>
      </c>
      <c r="O29" s="286"/>
      <c r="P29" s="287"/>
      <c r="Q29" s="120"/>
      <c r="R29" s="37"/>
      <c r="S29" s="37"/>
      <c r="T29" s="37"/>
      <c r="U29" s="37"/>
      <c r="V29" s="37"/>
    </row>
    <row r="30" spans="1:22" ht="15.75" customHeight="1" thickBot="1" x14ac:dyDescent="0.3">
      <c r="A30" s="1"/>
      <c r="B30" s="25">
        <f t="shared" si="1"/>
        <v>276</v>
      </c>
      <c r="C30" s="14">
        <f t="shared" si="3"/>
        <v>12</v>
      </c>
      <c r="D30" s="13">
        <f t="shared" si="2"/>
        <v>11.195191246148758</v>
      </c>
      <c r="E30" s="13">
        <f t="shared" si="2"/>
        <v>10.675826703801651</v>
      </c>
      <c r="F30" s="13">
        <f t="shared" si="2"/>
        <v>10.20251418984</v>
      </c>
      <c r="G30" s="13">
        <f t="shared" si="2"/>
        <v>9.7693885874411315</v>
      </c>
      <c r="H30" s="13">
        <f t="shared" si="2"/>
        <v>9.3715401834276921</v>
      </c>
      <c r="I30" s="13">
        <f t="shared" si="2"/>
        <v>9.0048277414674782</v>
      </c>
      <c r="J30" s="13">
        <f t="shared" si="2"/>
        <v>8.6657338097804182</v>
      </c>
      <c r="K30" s="18">
        <f t="shared" si="2"/>
        <v>8.351251534425483</v>
      </c>
      <c r="L30" s="1"/>
      <c r="M30" s="37"/>
      <c r="N30" s="328">
        <f>N84</f>
        <v>288</v>
      </c>
      <c r="O30" s="329"/>
      <c r="P30" s="330"/>
      <c r="Q30" s="120"/>
      <c r="R30" s="37"/>
      <c r="S30" s="37"/>
      <c r="T30" s="37"/>
      <c r="U30" s="37"/>
      <c r="V30" s="37"/>
    </row>
    <row r="31" spans="1:22" ht="15.75" customHeight="1" thickBot="1" x14ac:dyDescent="0.3">
      <c r="A31" s="1"/>
      <c r="B31" s="25">
        <f t="shared" si="1"/>
        <v>270</v>
      </c>
      <c r="C31" s="14">
        <f t="shared" si="3"/>
        <v>13</v>
      </c>
      <c r="D31" s="13">
        <f t="shared" si="2"/>
        <v>11.958245653060471</v>
      </c>
      <c r="E31" s="13">
        <f t="shared" si="2"/>
        <v>11.403481679464882</v>
      </c>
      <c r="F31" s="13">
        <f t="shared" si="2"/>
        <v>10.89790860007974</v>
      </c>
      <c r="G31" s="13">
        <f t="shared" si="2"/>
        <v>10.435261536868808</v>
      </c>
      <c r="H31" s="13">
        <f t="shared" si="2"/>
        <v>10.010296134914874</v>
      </c>
      <c r="I31" s="13">
        <f t="shared" si="2"/>
        <v>9.6185888948529872</v>
      </c>
      <c r="J31" s="13">
        <f t="shared" si="2"/>
        <v>9.2563826184777707</v>
      </c>
      <c r="K31" s="18">
        <f t="shared" si="2"/>
        <v>8.9204655073233354</v>
      </c>
      <c r="L31" s="1"/>
      <c r="M31" s="37"/>
      <c r="N31" s="37"/>
      <c r="O31" s="37"/>
      <c r="P31" s="37"/>
      <c r="Q31" s="37"/>
      <c r="R31" s="37"/>
      <c r="S31" s="37"/>
      <c r="T31" s="37"/>
      <c r="U31" s="37"/>
      <c r="V31" s="37"/>
    </row>
    <row r="32" spans="1:22" ht="15.75" customHeight="1" thickBot="1" x14ac:dyDescent="0.3">
      <c r="A32" s="1"/>
      <c r="B32" s="25">
        <f t="shared" si="1"/>
        <v>264</v>
      </c>
      <c r="C32" s="14">
        <f t="shared" si="3"/>
        <v>14</v>
      </c>
      <c r="D32" s="13">
        <f t="shared" si="2"/>
        <v>12.662720571811484</v>
      </c>
      <c r="E32" s="13">
        <f t="shared" si="2"/>
        <v>12.075274772088271</v>
      </c>
      <c r="F32" s="13">
        <f t="shared" si="2"/>
        <v>11.539917762488297</v>
      </c>
      <c r="G32" s="13">
        <f t="shared" si="2"/>
        <v>11.050015593326059</v>
      </c>
      <c r="H32" s="13">
        <f t="shared" si="2"/>
        <v>10.60001495830373</v>
      </c>
      <c r="I32" s="13">
        <f t="shared" si="2"/>
        <v>10.185231764283149</v>
      </c>
      <c r="J32" s="13">
        <f t="shared" si="2"/>
        <v>9.8016874719042857</v>
      </c>
      <c r="K32" s="18">
        <f t="shared" si="2"/>
        <v>9.4459810717142112</v>
      </c>
      <c r="L32" s="1"/>
      <c r="M32" s="37"/>
      <c r="N32" s="37"/>
      <c r="O32" s="37"/>
      <c r="P32" s="37"/>
      <c r="Q32" s="37"/>
      <c r="R32" s="37"/>
      <c r="S32" s="37"/>
      <c r="T32" s="37"/>
      <c r="U32" s="37"/>
      <c r="V32" s="37"/>
    </row>
    <row r="33" spans="1:22" ht="15.75" customHeight="1" thickBot="1" x14ac:dyDescent="0.3">
      <c r="A33" s="1"/>
      <c r="B33" s="25">
        <f t="shared" si="1"/>
        <v>258</v>
      </c>
      <c r="C33" s="14">
        <f>ROUNDUP(+MIN((15000*8*$J$6*144)/(C$25*$B33^2),(($B33/120)*384*144*10000000*$J$4)/(5*C$25*$B33^4)),0)</f>
        <v>14</v>
      </c>
      <c r="D33" s="13">
        <f t="shared" si="2"/>
        <v>13.258532735006506</v>
      </c>
      <c r="E33" s="13">
        <f t="shared" si="2"/>
        <v>12.643446164825793</v>
      </c>
      <c r="F33" s="13">
        <f t="shared" si="2"/>
        <v>12.082899290523171</v>
      </c>
      <c r="G33" s="13">
        <f t="shared" si="2"/>
        <v>11.569946018755678</v>
      </c>
      <c r="H33" s="13">
        <f t="shared" si="2"/>
        <v>11.098771746498659</v>
      </c>
      <c r="I33" s="13">
        <f t="shared" si="2"/>
        <v>10.664471982505233</v>
      </c>
      <c r="J33" s="13">
        <f t="shared" si="2"/>
        <v>10.262880987348133</v>
      </c>
      <c r="K33" s="18">
        <f t="shared" si="2"/>
        <v>9.8904377257104983</v>
      </c>
      <c r="L33" s="1"/>
      <c r="M33" s="37"/>
      <c r="N33" s="37"/>
      <c r="O33" s="37"/>
      <c r="P33" s="37"/>
      <c r="Q33" s="37"/>
      <c r="R33" s="37"/>
      <c r="S33" s="37"/>
      <c r="T33" s="37"/>
      <c r="U33" s="37"/>
      <c r="V33" s="37"/>
    </row>
    <row r="34" spans="1:22" ht="15.75" customHeight="1" thickBot="1" x14ac:dyDescent="0.3">
      <c r="A34" s="1"/>
      <c r="B34" s="25">
        <f t="shared" si="1"/>
        <v>252</v>
      </c>
      <c r="C34" s="14">
        <f t="shared" si="3"/>
        <v>15</v>
      </c>
      <c r="D34" s="13">
        <f t="shared" si="2"/>
        <v>13.897407611693328</v>
      </c>
      <c r="E34" s="13">
        <f t="shared" si="2"/>
        <v>13.252682516305493</v>
      </c>
      <c r="F34" s="13">
        <f t="shared" si="2"/>
        <v>12.665125163365841</v>
      </c>
      <c r="G34" s="13">
        <f t="shared" si="2"/>
        <v>12.127454755487102</v>
      </c>
      <c r="H34" s="13">
        <f t="shared" si="2"/>
        <v>11.63357650752609</v>
      </c>
      <c r="I34" s="13">
        <f t="shared" si="2"/>
        <v>11.178349600709851</v>
      </c>
      <c r="J34" s="13">
        <f t="shared" si="2"/>
        <v>10.757407565536678</v>
      </c>
      <c r="K34" s="18">
        <f t="shared" si="2"/>
        <v>10.367017774851877</v>
      </c>
      <c r="L34" s="1"/>
      <c r="M34" s="37"/>
      <c r="N34" s="37"/>
      <c r="O34" s="37"/>
      <c r="P34" s="37"/>
      <c r="Q34" s="37"/>
      <c r="R34" s="37"/>
      <c r="S34" s="37"/>
      <c r="T34" s="37"/>
      <c r="U34" s="37"/>
      <c r="V34" s="37"/>
    </row>
    <row r="35" spans="1:22" ht="15.75" customHeight="1" thickBot="1" x14ac:dyDescent="0.3">
      <c r="A35" s="1"/>
      <c r="B35" s="25">
        <f t="shared" si="1"/>
        <v>246</v>
      </c>
      <c r="C35" s="14">
        <f t="shared" si="3"/>
        <v>16</v>
      </c>
      <c r="D35" s="13">
        <f t="shared" si="2"/>
        <v>14.583597279611558</v>
      </c>
      <c r="E35" s="13">
        <f t="shared" si="2"/>
        <v>13.907038642928548</v>
      </c>
      <c r="F35" s="13">
        <f t="shared" si="2"/>
        <v>13.290470427232208</v>
      </c>
      <c r="G35" s="13">
        <f t="shared" si="2"/>
        <v>12.726252343057258</v>
      </c>
      <c r="H35" s="13">
        <f t="shared" si="2"/>
        <v>12.207988672978002</v>
      </c>
      <c r="I35" s="13">
        <f t="shared" si="2"/>
        <v>11.730284768383211</v>
      </c>
      <c r="J35" s="13">
        <f t="shared" si="2"/>
        <v>11.288558563716061</v>
      </c>
      <c r="K35" s="18">
        <f t="shared" si="2"/>
        <v>10.878893131968301</v>
      </c>
      <c r="L35" s="1"/>
      <c r="M35" s="37"/>
      <c r="N35" s="37"/>
      <c r="O35" s="37"/>
      <c r="P35" s="37"/>
      <c r="Q35" s="37"/>
      <c r="R35" s="37"/>
      <c r="S35" s="37"/>
      <c r="T35" s="37"/>
      <c r="U35" s="37"/>
      <c r="V35" s="37"/>
    </row>
    <row r="36" spans="1:22" ht="15.75" customHeight="1" thickBot="1" x14ac:dyDescent="0.3">
      <c r="A36" s="1"/>
      <c r="B36" s="25">
        <f t="shared" si="1"/>
        <v>240</v>
      </c>
      <c r="C36" s="14">
        <f t="shared" si="3"/>
        <v>17</v>
      </c>
      <c r="D36" s="13">
        <f t="shared" si="2"/>
        <v>15.321891891891894</v>
      </c>
      <c r="E36" s="13">
        <f t="shared" si="2"/>
        <v>14.611082474226807</v>
      </c>
      <c r="F36" s="13">
        <f t="shared" si="2"/>
        <v>13.963300492610839</v>
      </c>
      <c r="G36" s="13">
        <f t="shared" si="2"/>
        <v>13.370518867924529</v>
      </c>
      <c r="H36" s="13">
        <f t="shared" si="2"/>
        <v>12.826018099547515</v>
      </c>
      <c r="I36" s="13">
        <f t="shared" si="2"/>
        <v>12.324130434782612</v>
      </c>
      <c r="J36" s="13">
        <f t="shared" si="2"/>
        <v>11.860041841004186</v>
      </c>
      <c r="K36" s="18">
        <f t="shared" si="2"/>
        <v>11.429637096774195</v>
      </c>
      <c r="L36" s="1"/>
      <c r="M36" s="37"/>
      <c r="N36" s="37"/>
      <c r="O36" s="37"/>
      <c r="P36" s="37"/>
      <c r="Q36" s="37"/>
      <c r="R36" s="37"/>
      <c r="S36" s="37"/>
      <c r="T36" s="37"/>
      <c r="U36" s="37"/>
      <c r="V36" s="37"/>
    </row>
    <row r="37" spans="1:22" ht="15.75" customHeight="1" thickBot="1" x14ac:dyDescent="0.3">
      <c r="A37" s="1"/>
      <c r="B37" s="25">
        <f t="shared" si="1"/>
        <v>234</v>
      </c>
      <c r="C37" s="14">
        <f t="shared" si="3"/>
        <v>17</v>
      </c>
      <c r="D37" s="13">
        <f t="shared" si="2"/>
        <v>16.117703502318889</v>
      </c>
      <c r="E37" s="13">
        <f t="shared" si="2"/>
        <v>15.369974989324714</v>
      </c>
      <c r="F37" s="13">
        <f t="shared" si="2"/>
        <v>14.688547526743815</v>
      </c>
      <c r="G37" s="13">
        <f t="shared" si="2"/>
        <v>14.064977112872615</v>
      </c>
      <c r="H37" s="13">
        <f t="shared" si="2"/>
        <v>13.492195239497713</v>
      </c>
      <c r="I37" s="13">
        <f t="shared" si="2"/>
        <v>12.964239773604325</v>
      </c>
      <c r="J37" s="13">
        <f t="shared" si="2"/>
        <v>12.476046644054371</v>
      </c>
      <c r="K37" s="18">
        <f t="shared" si="2"/>
        <v>12.023286886810462</v>
      </c>
      <c r="L37" s="1"/>
      <c r="M37" s="37"/>
      <c r="N37" s="37"/>
      <c r="O37" s="37"/>
      <c r="P37" s="37"/>
      <c r="Q37" s="37"/>
      <c r="R37" s="37"/>
      <c r="S37" s="37"/>
      <c r="T37" s="37"/>
      <c r="U37" s="37"/>
      <c r="V37" s="37"/>
    </row>
    <row r="38" spans="1:22" ht="15.75" customHeight="1" thickBot="1" x14ac:dyDescent="0.3">
      <c r="A38" s="1"/>
      <c r="B38" s="25">
        <f t="shared" si="1"/>
        <v>228</v>
      </c>
      <c r="C38" s="14">
        <f t="shared" si="3"/>
        <v>18</v>
      </c>
      <c r="D38" s="13">
        <f t="shared" si="2"/>
        <v>16.977165531182155</v>
      </c>
      <c r="E38" s="13">
        <f t="shared" si="2"/>
        <v>16.189565068395353</v>
      </c>
      <c r="F38" s="13">
        <f t="shared" si="2"/>
        <v>15.471801099845806</v>
      </c>
      <c r="G38" s="13">
        <f t="shared" si="2"/>
        <v>14.81497935504103</v>
      </c>
      <c r="H38" s="13">
        <f t="shared" si="2"/>
        <v>14.211654403930762</v>
      </c>
      <c r="I38" s="13">
        <f t="shared" si="2"/>
        <v>13.655546188124775</v>
      </c>
      <c r="J38" s="13">
        <f t="shared" si="2"/>
        <v>13.141320599450621</v>
      </c>
      <c r="K38" s="18">
        <f t="shared" si="2"/>
        <v>12.664417835760881</v>
      </c>
      <c r="L38" s="1"/>
      <c r="M38" s="37"/>
      <c r="N38" s="37"/>
      <c r="O38" s="37"/>
      <c r="P38" s="37"/>
      <c r="Q38" s="37"/>
      <c r="R38" s="37"/>
      <c r="S38" s="37"/>
      <c r="T38" s="37"/>
      <c r="U38" s="37"/>
      <c r="V38" s="37"/>
    </row>
    <row r="39" spans="1:22" ht="15.75" customHeight="1" thickBot="1" x14ac:dyDescent="0.3">
      <c r="A39" s="1"/>
      <c r="B39" s="25">
        <f t="shared" si="1"/>
        <v>222</v>
      </c>
      <c r="C39" s="14">
        <f t="shared" si="3"/>
        <v>19</v>
      </c>
      <c r="D39" s="13">
        <f t="shared" si="2"/>
        <v>17.907251298047502</v>
      </c>
      <c r="E39" s="13">
        <f t="shared" si="2"/>
        <v>17.076502526488596</v>
      </c>
      <c r="F39" s="13">
        <f t="shared" si="2"/>
        <v>16.319416207580236</v>
      </c>
      <c r="G39" s="13">
        <f t="shared" si="2"/>
        <v>15.626610802541451</v>
      </c>
      <c r="H39" s="13">
        <f t="shared" si="2"/>
        <v>14.990232987053339</v>
      </c>
      <c r="I39" s="13">
        <f t="shared" si="2"/>
        <v>14.403658652777338</v>
      </c>
      <c r="J39" s="13">
        <f t="shared" si="2"/>
        <v>13.861261465015849</v>
      </c>
      <c r="K39" s="18">
        <f t="shared" si="2"/>
        <v>13.358231815075758</v>
      </c>
      <c r="L39" s="1"/>
      <c r="M39" s="37"/>
      <c r="N39" s="37"/>
      <c r="O39" s="37"/>
      <c r="P39" s="37"/>
      <c r="Q39" s="37"/>
      <c r="R39" s="37"/>
      <c r="S39" s="37"/>
      <c r="T39" s="37"/>
      <c r="U39" s="37"/>
      <c r="V39" s="37"/>
    </row>
    <row r="40" spans="1:22" ht="15.75" customHeight="1" thickBot="1" x14ac:dyDescent="0.3">
      <c r="A40" s="1"/>
      <c r="B40" s="25">
        <f t="shared" si="1"/>
        <v>216</v>
      </c>
      <c r="C40" s="14">
        <f t="shared" si="3"/>
        <v>20</v>
      </c>
      <c r="D40" s="13">
        <f t="shared" si="2"/>
        <v>18.915915915915917</v>
      </c>
      <c r="E40" s="13">
        <f t="shared" si="2"/>
        <v>18.038373424971365</v>
      </c>
      <c r="F40" s="13">
        <f t="shared" si="2"/>
        <v>17.238642583470174</v>
      </c>
      <c r="G40" s="13">
        <f t="shared" si="2"/>
        <v>16.506813417190777</v>
      </c>
      <c r="H40" s="13">
        <f t="shared" si="2"/>
        <v>15.834590246354955</v>
      </c>
      <c r="I40" s="13">
        <f t="shared" si="2"/>
        <v>15.214975845410629</v>
      </c>
      <c r="J40" s="13">
        <f t="shared" si="2"/>
        <v>14.642026964202698</v>
      </c>
      <c r="K40" s="18">
        <f t="shared" si="2"/>
        <v>14.110663082437277</v>
      </c>
      <c r="L40" s="1"/>
      <c r="M40" s="37"/>
      <c r="N40" s="37"/>
      <c r="O40" s="37"/>
      <c r="P40" s="37"/>
      <c r="Q40" s="37"/>
      <c r="R40" s="37"/>
      <c r="S40" s="37"/>
      <c r="T40" s="37"/>
      <c r="U40" s="37"/>
      <c r="V40" s="37"/>
    </row>
    <row r="41" spans="1:22" ht="15.75" customHeight="1" thickBot="1" x14ac:dyDescent="0.3">
      <c r="A41" s="1"/>
      <c r="B41" s="25">
        <f t="shared" si="1"/>
        <v>210</v>
      </c>
      <c r="C41" s="14">
        <f t="shared" si="3"/>
        <v>22</v>
      </c>
      <c r="D41" s="13">
        <f t="shared" si="2"/>
        <v>20.012266960838392</v>
      </c>
      <c r="E41" s="13">
        <f t="shared" si="2"/>
        <v>19.083862823479912</v>
      </c>
      <c r="F41" s="13">
        <f t="shared" si="2"/>
        <v>18.237780235246809</v>
      </c>
      <c r="G41" s="13">
        <f t="shared" si="2"/>
        <v>17.463534847901428</v>
      </c>
      <c r="H41" s="13">
        <f t="shared" si="2"/>
        <v>16.75235017083757</v>
      </c>
      <c r="I41" s="13">
        <f t="shared" si="2"/>
        <v>16.096823425022183</v>
      </c>
      <c r="J41" s="13">
        <f t="shared" si="2"/>
        <v>15.490666894372813</v>
      </c>
      <c r="K41" s="18">
        <f t="shared" si="2"/>
        <v>14.928505595786703</v>
      </c>
      <c r="L41" s="1"/>
      <c r="M41" s="37"/>
      <c r="N41" s="37"/>
      <c r="O41" s="37"/>
      <c r="P41" s="37"/>
      <c r="Q41" s="37"/>
      <c r="R41" s="37"/>
      <c r="S41" s="37"/>
      <c r="T41" s="37"/>
      <c r="U41" s="37"/>
      <c r="V41" s="37"/>
    </row>
    <row r="42" spans="1:22" ht="15.75" customHeight="1" thickBot="1" x14ac:dyDescent="0.3">
      <c r="A42" s="1"/>
      <c r="B42" s="25">
        <f t="shared" si="1"/>
        <v>204</v>
      </c>
      <c r="C42" s="14">
        <f t="shared" si="3"/>
        <v>23</v>
      </c>
      <c r="D42" s="13">
        <f t="shared" ref="D42:K42" si="4">+MIN((15000*8*$J$6*144)/(D$25*$B42^2),(($B42/120)*384*144*10000000*$J$4)/(5*D$25*$B42^4))</f>
        <v>21.206770784625459</v>
      </c>
      <c r="E42" s="13">
        <f t="shared" si="4"/>
        <v>20.222951521421187</v>
      </c>
      <c r="F42" s="13">
        <f t="shared" si="4"/>
        <v>19.326367463821231</v>
      </c>
      <c r="G42" s="13">
        <f t="shared" si="4"/>
        <v>18.505908467715614</v>
      </c>
      <c r="H42" s="13">
        <f t="shared" si="4"/>
        <v>17.75227418622493</v>
      </c>
      <c r="I42" s="13">
        <f t="shared" si="4"/>
        <v>17.057619978937868</v>
      </c>
      <c r="J42" s="13">
        <f t="shared" si="4"/>
        <v>16.415282824919288</v>
      </c>
      <c r="K42" s="18">
        <f t="shared" si="4"/>
        <v>15.819566915950443</v>
      </c>
      <c r="L42" s="1"/>
      <c r="M42" s="37"/>
      <c r="N42" s="37"/>
      <c r="O42" s="37"/>
      <c r="P42" s="37"/>
      <c r="Q42" s="37"/>
      <c r="R42" s="37"/>
      <c r="S42" s="37"/>
      <c r="T42" s="37"/>
      <c r="U42" s="37"/>
      <c r="V42" s="37"/>
    </row>
    <row r="43" spans="1:22" ht="15.75" customHeight="1" thickBot="1" x14ac:dyDescent="0.3">
      <c r="A43" s="1"/>
      <c r="B43" s="25">
        <f t="shared" si="1"/>
        <v>198</v>
      </c>
      <c r="C43" s="14">
        <f t="shared" si="3"/>
        <v>24</v>
      </c>
      <c r="D43" s="13">
        <f t="shared" ref="D43:K58" si="5">+MIN((15000*8*$J$6*144)/(D$25*$B43^2),(($B43/120)*384*144*10000000*$J$4)/(5*D$25*$B43^4))</f>
        <v>22.511503238775969</v>
      </c>
      <c r="E43" s="13">
        <f t="shared" si="5"/>
        <v>21.467155150379146</v>
      </c>
      <c r="F43" s="13">
        <f t="shared" si="5"/>
        <v>20.51540935553475</v>
      </c>
      <c r="G43" s="13">
        <f t="shared" si="5"/>
        <v>19.644472165912994</v>
      </c>
      <c r="H43" s="13">
        <f t="shared" si="5"/>
        <v>18.844471036984409</v>
      </c>
      <c r="I43" s="13">
        <f t="shared" si="5"/>
        <v>18.107078692058931</v>
      </c>
      <c r="J43" s="13">
        <f t="shared" si="5"/>
        <v>17.425222172274285</v>
      </c>
      <c r="K43" s="18">
        <f t="shared" si="5"/>
        <v>16.792855238603043</v>
      </c>
      <c r="L43" s="1"/>
      <c r="M43" s="37"/>
      <c r="N43" s="37"/>
      <c r="O43" s="37"/>
      <c r="P43" s="37"/>
      <c r="Q43" s="37"/>
      <c r="R43" s="37"/>
      <c r="S43" s="37"/>
      <c r="T43" s="37"/>
      <c r="U43" s="37"/>
      <c r="V43" s="37"/>
    </row>
    <row r="44" spans="1:22" ht="15.75" customHeight="1" thickBot="1" x14ac:dyDescent="0.3">
      <c r="A44" s="1"/>
      <c r="B44" s="25">
        <f t="shared" si="1"/>
        <v>192</v>
      </c>
      <c r="C44" s="14">
        <f t="shared" si="3"/>
        <v>26</v>
      </c>
      <c r="D44" s="13">
        <f t="shared" si="5"/>
        <v>23.940456081081084</v>
      </c>
      <c r="E44" s="13">
        <f t="shared" si="5"/>
        <v>22.829816365979386</v>
      </c>
      <c r="F44" s="13">
        <f t="shared" si="5"/>
        <v>21.817657019704438</v>
      </c>
      <c r="G44" s="13">
        <f t="shared" si="5"/>
        <v>20.891435731132081</v>
      </c>
      <c r="H44" s="13">
        <f t="shared" si="5"/>
        <v>20.04065328054299</v>
      </c>
      <c r="I44" s="13">
        <f t="shared" si="5"/>
        <v>19.256453804347828</v>
      </c>
      <c r="J44" s="13">
        <f t="shared" si="5"/>
        <v>18.53131537656904</v>
      </c>
      <c r="K44" s="18">
        <f t="shared" si="5"/>
        <v>17.85880796370968</v>
      </c>
      <c r="L44" s="1"/>
      <c r="M44" s="37"/>
      <c r="N44" s="37"/>
      <c r="O44" s="37"/>
      <c r="P44" s="37"/>
      <c r="Q44" s="37"/>
      <c r="R44" s="37"/>
      <c r="S44" s="37"/>
      <c r="T44" s="37"/>
      <c r="U44" s="37"/>
      <c r="V44" s="37"/>
    </row>
    <row r="45" spans="1:22" ht="15.75" customHeight="1" thickBot="1" x14ac:dyDescent="0.3">
      <c r="A45" s="1"/>
      <c r="B45" s="25">
        <f t="shared" si="1"/>
        <v>186</v>
      </c>
      <c r="C45" s="14">
        <f t="shared" si="3"/>
        <v>27</v>
      </c>
      <c r="D45" s="13">
        <f t="shared" si="5"/>
        <v>25.509913659757579</v>
      </c>
      <c r="E45" s="13">
        <f t="shared" si="5"/>
        <v>24.326464056985319</v>
      </c>
      <c r="F45" s="13">
        <f t="shared" si="5"/>
        <v>23.247950872192867</v>
      </c>
      <c r="G45" s="13">
        <f t="shared" si="5"/>
        <v>22.261009561580906</v>
      </c>
      <c r="H45" s="13">
        <f t="shared" si="5"/>
        <v>21.354452611109284</v>
      </c>
      <c r="I45" s="13">
        <f t="shared" si="5"/>
        <v>20.518843595891965</v>
      </c>
      <c r="J45" s="13">
        <f t="shared" si="5"/>
        <v>19.746167477218208</v>
      </c>
      <c r="K45" s="18">
        <f t="shared" si="5"/>
        <v>19.029572689738515</v>
      </c>
      <c r="L45" s="1"/>
      <c r="M45" s="37"/>
      <c r="N45" s="37"/>
      <c r="O45" s="37"/>
      <c r="P45" s="37"/>
      <c r="Q45" s="37"/>
      <c r="R45" s="37"/>
      <c r="S45" s="37"/>
      <c r="T45" s="37"/>
      <c r="U45" s="37"/>
      <c r="V45" s="37"/>
    </row>
    <row r="46" spans="1:22" ht="15.75" customHeight="1" thickBot="1" x14ac:dyDescent="0.3">
      <c r="A46" s="1"/>
      <c r="B46" s="25">
        <f t="shared" si="1"/>
        <v>180</v>
      </c>
      <c r="C46" s="14">
        <f t="shared" si="3"/>
        <v>29</v>
      </c>
      <c r="D46" s="13">
        <f t="shared" si="5"/>
        <v>27.238918918918923</v>
      </c>
      <c r="E46" s="13">
        <f t="shared" si="5"/>
        <v>25.975257731958767</v>
      </c>
      <c r="F46" s="13">
        <f t="shared" si="5"/>
        <v>24.823645320197048</v>
      </c>
      <c r="G46" s="13">
        <f t="shared" si="5"/>
        <v>23.769811320754723</v>
      </c>
      <c r="H46" s="13">
        <f t="shared" si="5"/>
        <v>22.801809954751135</v>
      </c>
      <c r="I46" s="13">
        <f t="shared" si="5"/>
        <v>21.909565217391307</v>
      </c>
      <c r="J46" s="13">
        <f t="shared" si="5"/>
        <v>21.084518828451888</v>
      </c>
      <c r="K46" s="18">
        <f t="shared" si="5"/>
        <v>20.319354838709682</v>
      </c>
      <c r="L46" s="1"/>
      <c r="M46" s="37"/>
      <c r="N46" s="37"/>
      <c r="O46" s="37"/>
      <c r="P46" s="37"/>
      <c r="Q46" s="37"/>
      <c r="R46" s="37"/>
      <c r="S46" s="37"/>
      <c r="T46" s="37"/>
      <c r="U46" s="37"/>
      <c r="V46" s="37"/>
    </row>
    <row r="47" spans="1:22" ht="15.75" customHeight="1" thickBot="1" x14ac:dyDescent="0.3">
      <c r="A47" s="1"/>
      <c r="B47" s="25">
        <f t="shared" si="1"/>
        <v>174</v>
      </c>
      <c r="C47" s="14">
        <f t="shared" si="3"/>
        <v>31</v>
      </c>
      <c r="D47" s="13">
        <f t="shared" si="5"/>
        <v>29.149853777677802</v>
      </c>
      <c r="E47" s="13">
        <f t="shared" si="5"/>
        <v>27.797540973558728</v>
      </c>
      <c r="F47" s="13">
        <f t="shared" si="5"/>
        <v>26.565137679164497</v>
      </c>
      <c r="G47" s="13">
        <f t="shared" si="5"/>
        <v>25.437372400332045</v>
      </c>
      <c r="H47" s="13">
        <f t="shared" si="5"/>
        <v>24.401461307105851</v>
      </c>
      <c r="I47" s="13">
        <f t="shared" si="5"/>
        <v>23.446621516827797</v>
      </c>
      <c r="J47" s="13">
        <f t="shared" si="5"/>
        <v>22.563694346738046</v>
      </c>
      <c r="K47" s="18">
        <f t="shared" si="5"/>
        <v>21.744850600283844</v>
      </c>
      <c r="L47" s="1"/>
      <c r="M47" s="37"/>
      <c r="N47" s="37"/>
      <c r="O47" s="37"/>
      <c r="P47" s="37"/>
      <c r="Q47" s="37"/>
      <c r="R47" s="37"/>
      <c r="S47" s="37"/>
      <c r="T47" s="37"/>
      <c r="U47" s="37"/>
      <c r="V47" s="37"/>
    </row>
    <row r="48" spans="1:22" ht="15.75" customHeight="1" thickBot="1" x14ac:dyDescent="0.3">
      <c r="A48" s="1"/>
      <c r="B48" s="25">
        <f t="shared" si="1"/>
        <v>168</v>
      </c>
      <c r="C48" s="14">
        <f t="shared" si="3"/>
        <v>33</v>
      </c>
      <c r="D48" s="13">
        <f t="shared" si="5"/>
        <v>31.269167126309988</v>
      </c>
      <c r="E48" s="13">
        <f t="shared" si="5"/>
        <v>29.81853566168736</v>
      </c>
      <c r="F48" s="13">
        <f t="shared" si="5"/>
        <v>28.49653161757314</v>
      </c>
      <c r="G48" s="13">
        <f t="shared" si="5"/>
        <v>27.286773199845978</v>
      </c>
      <c r="H48" s="13">
        <f t="shared" si="5"/>
        <v>26.175547141933698</v>
      </c>
      <c r="I48" s="13">
        <f t="shared" si="5"/>
        <v>25.151286601597167</v>
      </c>
      <c r="J48" s="13">
        <f t="shared" si="5"/>
        <v>24.204167022457522</v>
      </c>
      <c r="K48" s="18">
        <f t="shared" si="5"/>
        <v>23.325789993416727</v>
      </c>
      <c r="L48" s="1"/>
      <c r="M48" s="37"/>
      <c r="N48" s="37"/>
      <c r="O48" s="37"/>
      <c r="P48" s="37"/>
      <c r="Q48" s="37"/>
      <c r="R48" s="37"/>
      <c r="S48" s="37"/>
      <c r="T48" s="37"/>
      <c r="U48" s="37"/>
      <c r="V48" s="37"/>
    </row>
    <row r="49" spans="1:24" ht="15.75" customHeight="1" thickBot="1" x14ac:dyDescent="0.3">
      <c r="A49" s="1"/>
      <c r="B49" s="25">
        <f t="shared" si="1"/>
        <v>162</v>
      </c>
      <c r="C49" s="14">
        <f t="shared" si="3"/>
        <v>36</v>
      </c>
      <c r="D49" s="13">
        <f t="shared" si="5"/>
        <v>33.628294961628299</v>
      </c>
      <c r="E49" s="13">
        <f t="shared" si="5"/>
        <v>32.068219422171317</v>
      </c>
      <c r="F49" s="13">
        <f t="shared" si="5"/>
        <v>30.646475703946972</v>
      </c>
      <c r="G49" s="13">
        <f t="shared" si="5"/>
        <v>29.345446075005828</v>
      </c>
      <c r="H49" s="13">
        <f t="shared" si="5"/>
        <v>28.150382660186587</v>
      </c>
      <c r="I49" s="13">
        <f t="shared" si="5"/>
        <v>27.048845947396675</v>
      </c>
      <c r="J49" s="13">
        <f t="shared" si="5"/>
        <v>26.030270158582574</v>
      </c>
      <c r="K49" s="18">
        <f t="shared" si="5"/>
        <v>25.085623257666274</v>
      </c>
      <c r="L49" s="1"/>
      <c r="M49" s="37"/>
      <c r="N49" s="37"/>
      <c r="O49" s="37"/>
      <c r="P49" s="37"/>
      <c r="Q49" s="37"/>
      <c r="R49" s="37"/>
      <c r="S49" s="37"/>
      <c r="T49" s="37"/>
      <c r="U49" s="37"/>
      <c r="V49" s="37"/>
    </row>
    <row r="50" spans="1:24" ht="15.75" customHeight="1" thickBot="1" x14ac:dyDescent="0.3">
      <c r="A50" s="1"/>
      <c r="B50" s="25">
        <f t="shared" si="1"/>
        <v>156</v>
      </c>
      <c r="C50" s="14">
        <f t="shared" si="3"/>
        <v>39</v>
      </c>
      <c r="D50" s="13">
        <f t="shared" si="5"/>
        <v>36.264832880217504</v>
      </c>
      <c r="E50" s="13">
        <f t="shared" si="5"/>
        <v>34.582443725980603</v>
      </c>
      <c r="F50" s="13">
        <f t="shared" si="5"/>
        <v>33.049231935173587</v>
      </c>
      <c r="G50" s="13">
        <f t="shared" si="5"/>
        <v>31.646198503963387</v>
      </c>
      <c r="H50" s="13">
        <f t="shared" si="5"/>
        <v>30.357439288869852</v>
      </c>
      <c r="I50" s="13">
        <f t="shared" si="5"/>
        <v>29.169539490609729</v>
      </c>
      <c r="J50" s="13">
        <f t="shared" si="5"/>
        <v>28.071104949122333</v>
      </c>
      <c r="K50" s="18">
        <f t="shared" si="5"/>
        <v>27.052395495323537</v>
      </c>
      <c r="L50" s="1"/>
      <c r="M50" s="37"/>
      <c r="N50" s="37"/>
      <c r="O50" s="37"/>
      <c r="P50" s="37"/>
      <c r="Q50" s="37"/>
      <c r="R50" s="37"/>
      <c r="S50" s="37"/>
      <c r="T50" s="37"/>
      <c r="U50" s="37"/>
      <c r="V50" s="37"/>
    </row>
    <row r="51" spans="1:24" ht="15.75" customHeight="1" thickBot="1" x14ac:dyDescent="0.3">
      <c r="A51" s="1"/>
      <c r="B51" s="25">
        <f t="shared" si="1"/>
        <v>150</v>
      </c>
      <c r="C51" s="14">
        <f t="shared" si="3"/>
        <v>42</v>
      </c>
      <c r="D51" s="13">
        <f t="shared" si="5"/>
        <v>39.224043243243251</v>
      </c>
      <c r="E51" s="13">
        <f t="shared" si="5"/>
        <v>37.404371134020622</v>
      </c>
      <c r="F51" s="13">
        <f t="shared" si="5"/>
        <v>35.746049261083748</v>
      </c>
      <c r="G51" s="13">
        <f t="shared" si="5"/>
        <v>34.228528301886797</v>
      </c>
      <c r="H51" s="13">
        <f t="shared" si="5"/>
        <v>32.834606334841631</v>
      </c>
      <c r="I51" s="13">
        <f t="shared" si="5"/>
        <v>31.549773913043481</v>
      </c>
      <c r="J51" s="13">
        <f t="shared" si="5"/>
        <v>30.361707112970716</v>
      </c>
      <c r="K51" s="18">
        <f t="shared" si="5"/>
        <v>29.259870967741939</v>
      </c>
      <c r="L51" s="1"/>
      <c r="M51" s="37"/>
      <c r="N51" s="37"/>
      <c r="O51" s="37"/>
      <c r="P51" s="37"/>
      <c r="Q51" s="37"/>
      <c r="R51" s="37"/>
      <c r="S51" s="37"/>
      <c r="T51" s="37"/>
      <c r="U51" s="37"/>
      <c r="V51" s="37"/>
    </row>
    <row r="52" spans="1:24" ht="15.75" customHeight="1" thickBot="1" x14ac:dyDescent="0.3">
      <c r="A52" s="1"/>
      <c r="B52" s="25">
        <f t="shared" si="1"/>
        <v>144</v>
      </c>
      <c r="C52" s="14">
        <f t="shared" si="3"/>
        <v>45</v>
      </c>
      <c r="D52" s="13">
        <f t="shared" si="5"/>
        <v>42.560810810810821</v>
      </c>
      <c r="E52" s="13">
        <f t="shared" si="5"/>
        <v>40.586340206185575</v>
      </c>
      <c r="F52" s="13">
        <f t="shared" si="5"/>
        <v>38.786945812807886</v>
      </c>
      <c r="G52" s="13">
        <f t="shared" si="5"/>
        <v>37.140330188679251</v>
      </c>
      <c r="H52" s="13">
        <f t="shared" si="5"/>
        <v>35.627828054298647</v>
      </c>
      <c r="I52" s="13">
        <f t="shared" si="5"/>
        <v>34.233695652173921</v>
      </c>
      <c r="J52" s="13">
        <f t="shared" si="5"/>
        <v>32.944560669456074</v>
      </c>
      <c r="K52" s="18">
        <f t="shared" si="5"/>
        <v>31.748991935483875</v>
      </c>
      <c r="L52" s="1"/>
      <c r="M52" s="37"/>
      <c r="N52" s="37"/>
      <c r="O52" s="37"/>
      <c r="P52" s="37"/>
      <c r="Q52" s="37"/>
      <c r="R52" s="37"/>
      <c r="S52" s="37"/>
      <c r="T52" s="37"/>
      <c r="U52" s="37"/>
      <c r="V52" s="37"/>
    </row>
    <row r="53" spans="1:24" ht="15.75" customHeight="1" thickBot="1" x14ac:dyDescent="0.3">
      <c r="A53" s="1"/>
      <c r="B53" s="25">
        <f t="shared" si="1"/>
        <v>138</v>
      </c>
      <c r="C53" s="14">
        <f t="shared" si="3"/>
        <v>49</v>
      </c>
      <c r="D53" s="13">
        <f t="shared" si="5"/>
        <v>46.342206100240134</v>
      </c>
      <c r="E53" s="13">
        <f t="shared" si="5"/>
        <v>44.192309940950643</v>
      </c>
      <c r="F53" s="13">
        <f t="shared" si="5"/>
        <v>42.233044968199138</v>
      </c>
      <c r="G53" s="13">
        <f t="shared" si="5"/>
        <v>40.440132681813324</v>
      </c>
      <c r="H53" s="13">
        <f t="shared" si="5"/>
        <v>38.793249450427261</v>
      </c>
      <c r="I53" s="13">
        <f t="shared" si="5"/>
        <v>37.275252732801846</v>
      </c>
      <c r="J53" s="13">
        <f t="shared" si="5"/>
        <v>35.871582127800941</v>
      </c>
      <c r="K53" s="18">
        <f t="shared" si="5"/>
        <v>34.569790840904936</v>
      </c>
      <c r="L53" s="1"/>
      <c r="M53" s="37"/>
      <c r="N53" s="37"/>
      <c r="O53" s="37"/>
      <c r="P53" s="37"/>
      <c r="Q53" s="37"/>
      <c r="R53" s="37"/>
      <c r="S53" s="37"/>
      <c r="T53" s="37"/>
      <c r="U53" s="37"/>
      <c r="V53" s="37"/>
    </row>
    <row r="54" spans="1:24" ht="15.75" customHeight="1" thickBot="1" x14ac:dyDescent="0.3">
      <c r="A54" s="1"/>
      <c r="B54" s="25">
        <f t="shared" si="1"/>
        <v>132</v>
      </c>
      <c r="C54" s="14">
        <f t="shared" si="3"/>
        <v>54</v>
      </c>
      <c r="D54" s="13">
        <f t="shared" si="5"/>
        <v>50.650882287245935</v>
      </c>
      <c r="E54" s="13">
        <f t="shared" si="5"/>
        <v>48.301099088353084</v>
      </c>
      <c r="F54" s="13">
        <f t="shared" si="5"/>
        <v>46.159671049953189</v>
      </c>
      <c r="G54" s="13">
        <f t="shared" si="5"/>
        <v>44.200062373304235</v>
      </c>
      <c r="H54" s="13">
        <f t="shared" si="5"/>
        <v>42.400059833214918</v>
      </c>
      <c r="I54" s="13">
        <f t="shared" si="5"/>
        <v>40.740927057132595</v>
      </c>
      <c r="J54" s="13">
        <f t="shared" si="5"/>
        <v>39.206749887617143</v>
      </c>
      <c r="K54" s="18">
        <f t="shared" si="5"/>
        <v>37.783924286856845</v>
      </c>
      <c r="L54" s="1"/>
      <c r="M54" s="37"/>
      <c r="N54" s="37"/>
      <c r="O54" s="37"/>
      <c r="P54" s="37"/>
      <c r="Q54" s="37"/>
      <c r="R54" s="37"/>
      <c r="S54" s="37"/>
      <c r="T54" s="37"/>
      <c r="U54" s="37"/>
      <c r="V54" s="37"/>
    </row>
    <row r="55" spans="1:24" ht="15.75" customHeight="1" thickBot="1" x14ac:dyDescent="0.3">
      <c r="A55" s="1"/>
      <c r="B55" s="25">
        <f t="shared" si="1"/>
        <v>126</v>
      </c>
      <c r="C55" s="14">
        <f t="shared" si="3"/>
        <v>59</v>
      </c>
      <c r="D55" s="13">
        <f t="shared" si="5"/>
        <v>55.589630446773313</v>
      </c>
      <c r="E55" s="13">
        <f t="shared" si="5"/>
        <v>53.010730065221971</v>
      </c>
      <c r="F55" s="13">
        <f t="shared" si="5"/>
        <v>50.660500653463366</v>
      </c>
      <c r="G55" s="13">
        <f t="shared" si="5"/>
        <v>48.50981902194841</v>
      </c>
      <c r="H55" s="13">
        <f t="shared" si="5"/>
        <v>46.534306030104361</v>
      </c>
      <c r="I55" s="13">
        <f t="shared" si="5"/>
        <v>44.713398402839402</v>
      </c>
      <c r="J55" s="13">
        <f t="shared" si="5"/>
        <v>43.029630262146711</v>
      </c>
      <c r="K55" s="18">
        <f t="shared" si="5"/>
        <v>41.46807109940751</v>
      </c>
      <c r="L55" s="1"/>
      <c r="M55" s="37"/>
      <c r="N55" s="37"/>
      <c r="O55" s="37"/>
      <c r="P55" s="37"/>
      <c r="Q55" s="37"/>
      <c r="R55" s="37"/>
      <c r="S55" s="37"/>
      <c r="T55" s="37"/>
      <c r="U55" s="37"/>
      <c r="V55" s="37"/>
    </row>
    <row r="56" spans="1:24" ht="15.75" customHeight="1" thickBot="1" x14ac:dyDescent="0.3">
      <c r="A56" s="1"/>
      <c r="B56" s="25">
        <f t="shared" si="1"/>
        <v>120</v>
      </c>
      <c r="C56" s="14">
        <f t="shared" si="3"/>
        <v>65</v>
      </c>
      <c r="D56" s="13">
        <f t="shared" si="5"/>
        <v>61.287567567567578</v>
      </c>
      <c r="E56" s="13">
        <f t="shared" si="5"/>
        <v>58.444329896907227</v>
      </c>
      <c r="F56" s="13">
        <f t="shared" si="5"/>
        <v>55.853201970443358</v>
      </c>
      <c r="G56" s="13">
        <f t="shared" si="5"/>
        <v>53.482075471698117</v>
      </c>
      <c r="H56" s="13">
        <f t="shared" si="5"/>
        <v>51.304072398190058</v>
      </c>
      <c r="I56" s="13">
        <f t="shared" si="5"/>
        <v>49.296521739130448</v>
      </c>
      <c r="J56" s="13">
        <f t="shared" si="5"/>
        <v>47.440167364016745</v>
      </c>
      <c r="K56" s="18">
        <f t="shared" si="5"/>
        <v>45.718548387096781</v>
      </c>
      <c r="L56" s="1"/>
      <c r="M56" s="37"/>
      <c r="N56" s="37"/>
      <c r="O56" s="37"/>
      <c r="P56" s="37"/>
      <c r="Q56" s="37"/>
      <c r="R56" s="37"/>
      <c r="S56" s="37"/>
      <c r="T56" s="37"/>
      <c r="U56" s="37"/>
      <c r="V56" s="37"/>
    </row>
    <row r="57" spans="1:24" ht="15.75" customHeight="1" thickBot="1" x14ac:dyDescent="0.3">
      <c r="A57" s="1"/>
      <c r="B57" s="25">
        <f t="shared" si="1"/>
        <v>114</v>
      </c>
      <c r="C57" s="14">
        <f t="shared" si="3"/>
        <v>72</v>
      </c>
      <c r="D57" s="13">
        <f t="shared" si="5"/>
        <v>67.908662124728622</v>
      </c>
      <c r="E57" s="13">
        <f t="shared" si="5"/>
        <v>64.758260273581413</v>
      </c>
      <c r="F57" s="13">
        <f t="shared" si="5"/>
        <v>61.887204399383222</v>
      </c>
      <c r="G57" s="13">
        <f t="shared" si="5"/>
        <v>59.259917420164122</v>
      </c>
      <c r="H57" s="13">
        <f t="shared" si="5"/>
        <v>56.846617615723048</v>
      </c>
      <c r="I57" s="13">
        <f t="shared" si="5"/>
        <v>54.622184752499102</v>
      </c>
      <c r="J57" s="13">
        <f t="shared" si="5"/>
        <v>52.565282397802484</v>
      </c>
      <c r="K57" s="18">
        <f t="shared" si="5"/>
        <v>50.657671343043525</v>
      </c>
      <c r="L57" s="1"/>
      <c r="M57" s="37"/>
      <c r="N57" s="37"/>
      <c r="O57" s="37"/>
      <c r="P57" s="37"/>
      <c r="Q57" s="37"/>
      <c r="R57" s="37"/>
      <c r="S57" s="37"/>
      <c r="T57" s="37"/>
      <c r="U57" s="37"/>
      <c r="V57" s="37"/>
    </row>
    <row r="58" spans="1:24" ht="15.75" customHeight="1" thickBot="1" x14ac:dyDescent="0.3">
      <c r="A58" s="1"/>
      <c r="B58" s="25">
        <f>+B59+6</f>
        <v>108</v>
      </c>
      <c r="C58" s="14">
        <f t="shared" si="3"/>
        <v>80</v>
      </c>
      <c r="D58" s="13">
        <f t="shared" si="5"/>
        <v>75.663663663663669</v>
      </c>
      <c r="E58" s="13">
        <f t="shared" si="5"/>
        <v>72.153493699885459</v>
      </c>
      <c r="F58" s="13">
        <f t="shared" si="5"/>
        <v>68.954570333880696</v>
      </c>
      <c r="G58" s="13">
        <f t="shared" si="5"/>
        <v>66.027253668763109</v>
      </c>
      <c r="H58" s="13">
        <f t="shared" si="5"/>
        <v>63.338360985419818</v>
      </c>
      <c r="I58" s="13">
        <f t="shared" si="5"/>
        <v>60.859903381642518</v>
      </c>
      <c r="J58" s="13">
        <f t="shared" si="5"/>
        <v>58.568107856810791</v>
      </c>
      <c r="K58" s="18">
        <f t="shared" si="5"/>
        <v>56.442652329749109</v>
      </c>
      <c r="L58" s="1"/>
      <c r="M58" s="37"/>
      <c r="N58" s="37"/>
      <c r="O58" s="37"/>
      <c r="P58" s="37"/>
      <c r="Q58" s="37"/>
      <c r="R58" s="37"/>
      <c r="S58" s="37"/>
      <c r="T58" s="37"/>
      <c r="U58" s="37"/>
      <c r="V58" s="37"/>
    </row>
    <row r="59" spans="1:24" ht="15.75" customHeight="1" thickBot="1" x14ac:dyDescent="0.3">
      <c r="A59" s="1"/>
      <c r="B59" s="25">
        <f>+B60+6</f>
        <v>102</v>
      </c>
      <c r="C59" s="14">
        <f t="shared" si="3"/>
        <v>90</v>
      </c>
      <c r="D59" s="13">
        <f t="shared" ref="D59:K60" si="6">+MIN((15000*8*$J$6*144)/(D$25*$B59^2),(($B59/120)*384*144*10000000*$J$4)/(5*D$25*$B59^4))</f>
        <v>84.827083138501834</v>
      </c>
      <c r="E59" s="13">
        <f t="shared" si="6"/>
        <v>80.891806085684749</v>
      </c>
      <c r="F59" s="13">
        <f t="shared" si="6"/>
        <v>77.305469855284926</v>
      </c>
      <c r="G59" s="13">
        <f t="shared" si="6"/>
        <v>74.023633870862454</v>
      </c>
      <c r="H59" s="13">
        <f t="shared" si="6"/>
        <v>71.009096744899722</v>
      </c>
      <c r="I59" s="13">
        <f t="shared" si="6"/>
        <v>68.230479915751474</v>
      </c>
      <c r="J59" s="13">
        <f t="shared" si="6"/>
        <v>65.661131299677152</v>
      </c>
      <c r="K59" s="18">
        <f t="shared" si="6"/>
        <v>63.27826766380177</v>
      </c>
      <c r="L59" s="1"/>
      <c r="M59" s="37"/>
      <c r="N59" s="343" t="s">
        <v>197</v>
      </c>
      <c r="O59" s="343"/>
      <c r="P59" s="343"/>
      <c r="Q59" s="343"/>
      <c r="R59" s="343"/>
      <c r="S59" s="343"/>
      <c r="T59" s="343"/>
      <c r="U59" s="343"/>
      <c r="V59" s="343"/>
      <c r="W59" s="343"/>
      <c r="X59" s="343"/>
    </row>
    <row r="60" spans="1:24" ht="15.75" customHeight="1" thickBot="1" x14ac:dyDescent="0.3">
      <c r="A60" s="1"/>
      <c r="B60" s="26">
        <v>96</v>
      </c>
      <c r="C60" s="14">
        <f>ROUNDUP(+MIN((15000*8*$J$6*144)/(C$25*$B60^2),(($B60/120)*384*144*10000000*$J$4)/(5*C$25*$B60^4)),0)</f>
        <v>101</v>
      </c>
      <c r="D60" s="20">
        <f t="shared" si="6"/>
        <v>95.761824324324337</v>
      </c>
      <c r="E60" s="20">
        <f t="shared" si="6"/>
        <v>91.319265463917546</v>
      </c>
      <c r="F60" s="20">
        <f t="shared" si="6"/>
        <v>87.270628078817751</v>
      </c>
      <c r="G60" s="20">
        <f t="shared" si="6"/>
        <v>83.565742924528323</v>
      </c>
      <c r="H60" s="20">
        <f t="shared" si="6"/>
        <v>80.162613122171962</v>
      </c>
      <c r="I60" s="20">
        <f t="shared" si="6"/>
        <v>77.025815217391312</v>
      </c>
      <c r="J60" s="20">
        <f t="shared" si="6"/>
        <v>74.125261506276161</v>
      </c>
      <c r="K60" s="21">
        <f t="shared" si="6"/>
        <v>71.435231854838719</v>
      </c>
      <c r="L60" s="1"/>
      <c r="M60" s="37"/>
      <c r="N60" s="343"/>
      <c r="O60" s="343"/>
      <c r="P60" s="343"/>
      <c r="Q60" s="343"/>
      <c r="R60" s="343"/>
      <c r="S60" s="343"/>
      <c r="T60" s="343"/>
      <c r="U60" s="343"/>
      <c r="V60" s="343"/>
      <c r="W60" s="343"/>
      <c r="X60" s="343"/>
    </row>
    <row r="61" spans="1:24" ht="15.75" customHeight="1" x14ac:dyDescent="0.25">
      <c r="A61" s="1"/>
      <c r="B61" s="1"/>
      <c r="C61" s="1"/>
      <c r="D61" s="1"/>
      <c r="E61" s="1"/>
      <c r="F61" s="1"/>
      <c r="G61" s="1"/>
      <c r="H61" s="1"/>
      <c r="I61" s="1"/>
      <c r="J61" s="1"/>
      <c r="K61" s="1"/>
      <c r="L61" s="1"/>
      <c r="M61" s="37"/>
      <c r="N61" s="331" t="s">
        <v>1</v>
      </c>
      <c r="O61" s="332"/>
      <c r="P61" s="332"/>
      <c r="Q61" s="332"/>
      <c r="R61" s="333"/>
      <c r="S61"/>
      <c r="T61"/>
      <c r="U61" s="288" t="s">
        <v>2</v>
      </c>
      <c r="V61" s="289"/>
      <c r="W61" s="81" t="s">
        <v>3</v>
      </c>
      <c r="X61"/>
    </row>
    <row r="62" spans="1:24" ht="15.75" customHeight="1" thickBot="1" x14ac:dyDescent="0.3">
      <c r="A62" s="1"/>
      <c r="B62" s="1"/>
      <c r="C62" s="1"/>
      <c r="D62" s="1"/>
      <c r="E62" s="1"/>
      <c r="F62" s="1"/>
      <c r="G62" s="1"/>
      <c r="H62" s="1"/>
      <c r="I62" s="1"/>
      <c r="J62" s="1"/>
      <c r="K62" s="1"/>
      <c r="L62" s="1"/>
      <c r="M62" s="37"/>
      <c r="N62" s="290" t="s">
        <v>5</v>
      </c>
      <c r="O62" s="291"/>
      <c r="P62" s="78"/>
      <c r="Q62" s="291" t="s">
        <v>6</v>
      </c>
      <c r="R62" s="292"/>
      <c r="S62"/>
      <c r="T62"/>
      <c r="U62" s="293" t="s">
        <v>178</v>
      </c>
      <c r="V62" s="294"/>
      <c r="W62" s="79">
        <f>(N64+O64/12)*SUM(W76+1)</f>
        <v>56.666666666666664</v>
      </c>
      <c r="X62"/>
    </row>
    <row r="63" spans="1:24" ht="15.75" customHeight="1" thickBot="1" x14ac:dyDescent="0.3">
      <c r="A63" s="1"/>
      <c r="B63" s="52" t="s">
        <v>198</v>
      </c>
      <c r="C63" s="229" t="s">
        <v>196</v>
      </c>
      <c r="D63" s="229"/>
      <c r="E63" s="229"/>
      <c r="F63" s="229"/>
      <c r="G63" s="229"/>
      <c r="H63" s="229"/>
      <c r="I63" s="229"/>
      <c r="J63" s="229"/>
      <c r="K63" s="229"/>
      <c r="L63" s="1"/>
      <c r="M63" s="37"/>
      <c r="N63" s="85" t="s">
        <v>9</v>
      </c>
      <c r="O63" s="86" t="s">
        <v>10</v>
      </c>
      <c r="P63" s="86"/>
      <c r="Q63" s="86" t="s">
        <v>9</v>
      </c>
      <c r="R63" s="77" t="s">
        <v>10</v>
      </c>
      <c r="S63"/>
      <c r="T63"/>
      <c r="U63" s="295" t="s">
        <v>179</v>
      </c>
      <c r="V63" s="296"/>
      <c r="W63" s="79">
        <f>(Q64+R64/12)*2</f>
        <v>60.333333333333336</v>
      </c>
      <c r="X63"/>
    </row>
    <row r="64" spans="1:24" ht="15.75" customHeight="1" thickBot="1" x14ac:dyDescent="0.3">
      <c r="A64" s="1"/>
      <c r="B64" s="303" t="s">
        <v>177</v>
      </c>
      <c r="C64" s="304"/>
      <c r="D64" s="304"/>
      <c r="E64" s="304"/>
      <c r="F64" s="304"/>
      <c r="G64" s="304"/>
      <c r="H64" s="304"/>
      <c r="I64" s="304"/>
      <c r="J64" s="304"/>
      <c r="K64" s="305"/>
      <c r="L64" s="1"/>
      <c r="M64" s="37"/>
      <c r="N64" s="123">
        <f>'Span Table '!$C$8</f>
        <v>14</v>
      </c>
      <c r="O64" s="124">
        <f>'Span Table '!D8</f>
        <v>2</v>
      </c>
      <c r="P64" s="118" t="s">
        <v>41</v>
      </c>
      <c r="Q64" s="124">
        <f>'Span Table '!E8</f>
        <v>30</v>
      </c>
      <c r="R64" s="119">
        <f>'Span Table '!F8</f>
        <v>2</v>
      </c>
      <c r="S64"/>
      <c r="T64"/>
      <c r="U64" s="295" t="s">
        <v>180</v>
      </c>
      <c r="V64" s="296"/>
      <c r="W64" s="79">
        <f>(((Q64*12)-(W76+1)*2)/W76)/12</f>
        <v>9.7777777777777768</v>
      </c>
      <c r="X64"/>
    </row>
    <row r="65" spans="1:27" ht="15.75" customHeight="1" x14ac:dyDescent="0.25">
      <c r="A65" s="1"/>
      <c r="B65" s="51" t="s">
        <v>169</v>
      </c>
      <c r="C65" s="298" t="s">
        <v>170</v>
      </c>
      <c r="D65" s="298"/>
      <c r="E65" s="298"/>
      <c r="F65" s="298"/>
      <c r="G65" s="298"/>
      <c r="H65" s="298"/>
      <c r="I65" s="298"/>
      <c r="J65" s="298"/>
      <c r="K65" s="299"/>
      <c r="L65" s="1"/>
      <c r="M65" s="37"/>
      <c r="N65"/>
      <c r="O65"/>
      <c r="P65"/>
      <c r="Q65"/>
      <c r="R65"/>
      <c r="S65"/>
      <c r="T65"/>
      <c r="U65" s="295" t="s">
        <v>17</v>
      </c>
      <c r="V65" s="296"/>
      <c r="W65" s="79">
        <v>110</v>
      </c>
      <c r="X65">
        <f>'Design Loads'!AJ112</f>
        <v>0</v>
      </c>
    </row>
    <row r="66" spans="1:27" ht="15.75" customHeight="1" thickBot="1" x14ac:dyDescent="0.3">
      <c r="A66" s="1"/>
      <c r="B66" s="27" t="s">
        <v>171</v>
      </c>
      <c r="C66" s="94">
        <f>N80</f>
        <v>58.666666666666657</v>
      </c>
      <c r="D66" s="94">
        <f>(+C66+6)</f>
        <v>64.666666666666657</v>
      </c>
      <c r="E66" s="94">
        <f t="shared" ref="E66:K66" si="7">(+D66+6)</f>
        <v>70.666666666666657</v>
      </c>
      <c r="F66" s="94">
        <f t="shared" si="7"/>
        <v>76.666666666666657</v>
      </c>
      <c r="G66" s="94">
        <f t="shared" si="7"/>
        <v>82.666666666666657</v>
      </c>
      <c r="H66" s="94">
        <f t="shared" si="7"/>
        <v>88.666666666666657</v>
      </c>
      <c r="I66" s="94">
        <f t="shared" si="7"/>
        <v>94.666666666666657</v>
      </c>
      <c r="J66" s="94">
        <f t="shared" si="7"/>
        <v>100.66666666666666</v>
      </c>
      <c r="K66" s="94">
        <f t="shared" si="7"/>
        <v>106.66666666666666</v>
      </c>
      <c r="L66" s="1"/>
      <c r="M66" s="37"/>
      <c r="N66"/>
      <c r="O66"/>
      <c r="P66"/>
      <c r="Q66"/>
      <c r="R66"/>
      <c r="S66"/>
      <c r="T66"/>
      <c r="U66" s="295" t="s">
        <v>19</v>
      </c>
      <c r="V66" s="296"/>
      <c r="W66" s="79">
        <v>10</v>
      </c>
      <c r="X66">
        <f>'Design Loads'!AJ113</f>
        <v>0</v>
      </c>
    </row>
    <row r="67" spans="1:27" ht="15.75" customHeight="1" thickBot="1" x14ac:dyDescent="0.3">
      <c r="A67" s="1"/>
      <c r="B67" s="25">
        <f t="shared" ref="B67:B98" si="8">+B68+6</f>
        <v>300</v>
      </c>
      <c r="C67" s="14">
        <f>ROUNDUP(+MIN((15000*8*$J$6*144)/(C$66*$B67^2),(($B67/120)*384*144*10000000*$J$4)/(5*C$66*$B67^4)),0)</f>
        <v>19</v>
      </c>
      <c r="D67" s="15">
        <f t="shared" ref="D67:K82" si="9">+MIN((15000*8*$J$6*144)/(D$66*$B67^2),(($B67/120)*384*144*10000000*$J$4)/(5*D$66*$B67^4))</f>
        <v>16.626276288659795</v>
      </c>
      <c r="E67" s="15">
        <f t="shared" si="9"/>
        <v>15.21461132075472</v>
      </c>
      <c r="F67" s="15">
        <f t="shared" si="9"/>
        <v>14.023902608695654</v>
      </c>
      <c r="G67" s="15">
        <f t="shared" si="9"/>
        <v>13.006038709677421</v>
      </c>
      <c r="H67" s="15">
        <f t="shared" si="9"/>
        <v>12.125930827067672</v>
      </c>
      <c r="I67" s="15">
        <f t="shared" si="9"/>
        <v>11.357385915492959</v>
      </c>
      <c r="J67" s="15">
        <f t="shared" si="9"/>
        <v>10.680455629139074</v>
      </c>
      <c r="K67" s="16">
        <f t="shared" si="9"/>
        <v>10.079680000000002</v>
      </c>
      <c r="L67" s="1"/>
      <c r="M67" s="37"/>
      <c r="N67"/>
      <c r="O67"/>
      <c r="P67"/>
      <c r="Q67"/>
      <c r="R67"/>
      <c r="S67"/>
      <c r="T67"/>
      <c r="U67" s="288" t="s">
        <v>28</v>
      </c>
      <c r="V67" s="289"/>
      <c r="W67" s="297"/>
      <c r="X67"/>
      <c r="Y67" s="104"/>
      <c r="Z67" s="104"/>
      <c r="AA67" s="104"/>
    </row>
    <row r="68" spans="1:27" ht="15.75" customHeight="1" thickBot="1" x14ac:dyDescent="0.3">
      <c r="A68" s="1"/>
      <c r="B68" s="25">
        <f t="shared" si="8"/>
        <v>294</v>
      </c>
      <c r="C68" s="14">
        <f t="shared" ref="C68:C101" si="10">ROUNDUP(+MIN((15000*8*$J$6*144)/(C$66*$B68^2),(($B68/120)*384*144*10000000*$J$4)/(5*C$66*$B68^4)),0)</f>
        <v>20</v>
      </c>
      <c r="D68" s="13">
        <f t="shared" si="9"/>
        <v>17.665127082104181</v>
      </c>
      <c r="E68" s="13">
        <f t="shared" si="9"/>
        <v>16.165257801548165</v>
      </c>
      <c r="F68" s="13">
        <f t="shared" si="9"/>
        <v>14.90015066925309</v>
      </c>
      <c r="G68" s="13">
        <f t="shared" si="9"/>
        <v>13.818688120678269</v>
      </c>
      <c r="H68" s="13">
        <f t="shared" si="9"/>
        <v>12.883588924542146</v>
      </c>
      <c r="I68" s="13">
        <f t="shared" si="9"/>
        <v>12.067023429324685</v>
      </c>
      <c r="J68" s="13">
        <f t="shared" si="9"/>
        <v>11.347796867311956</v>
      </c>
      <c r="K68" s="18">
        <f t="shared" si="9"/>
        <v>10.709483293525658</v>
      </c>
      <c r="L68" s="1"/>
      <c r="M68" s="37"/>
      <c r="N68" t="s">
        <v>0</v>
      </c>
      <c r="O68"/>
      <c r="P68"/>
      <c r="Q68"/>
      <c r="R68"/>
      <c r="S68"/>
      <c r="T68"/>
      <c r="U68" s="295" t="s">
        <v>29</v>
      </c>
      <c r="V68" s="296"/>
      <c r="W68" s="79"/>
      <c r="X68"/>
      <c r="Y68" s="337"/>
      <c r="Z68" s="337"/>
      <c r="AA68" s="337"/>
    </row>
    <row r="69" spans="1:27" ht="15.75" customHeight="1" thickBot="1" x14ac:dyDescent="0.3">
      <c r="A69" s="1"/>
      <c r="B69" s="25">
        <f t="shared" si="8"/>
        <v>288</v>
      </c>
      <c r="C69" s="14">
        <f t="shared" si="10"/>
        <v>21</v>
      </c>
      <c r="D69" s="13">
        <f t="shared" si="9"/>
        <v>18.792358724704091</v>
      </c>
      <c r="E69" s="13">
        <f t="shared" si="9"/>
        <v>17.196781097134874</v>
      </c>
      <c r="F69" s="13">
        <f t="shared" si="9"/>
        <v>15.850946054750406</v>
      </c>
      <c r="G69" s="13">
        <f t="shared" si="9"/>
        <v>14.700474163679811</v>
      </c>
      <c r="H69" s="13">
        <f t="shared" si="9"/>
        <v>13.7057052353105</v>
      </c>
      <c r="I69" s="13">
        <f t="shared" si="9"/>
        <v>12.837033776734483</v>
      </c>
      <c r="J69" s="13">
        <f t="shared" si="9"/>
        <v>12.07191255825362</v>
      </c>
      <c r="K69" s="18">
        <f t="shared" si="9"/>
        <v>11.392867476851853</v>
      </c>
      <c r="L69" s="1"/>
      <c r="M69" s="37"/>
      <c r="N69"/>
      <c r="O69"/>
      <c r="P69"/>
      <c r="Q69"/>
      <c r="R69"/>
      <c r="S69"/>
      <c r="T69"/>
      <c r="U69" s="295" t="s">
        <v>30</v>
      </c>
      <c r="V69" s="296"/>
      <c r="W69" s="100">
        <f>N80</f>
        <v>58.666666666666657</v>
      </c>
      <c r="X69"/>
      <c r="Y69" s="337"/>
      <c r="Z69" s="337"/>
      <c r="AA69" s="337"/>
    </row>
    <row r="70" spans="1:27" ht="15.75" customHeight="1" thickBot="1" x14ac:dyDescent="0.3">
      <c r="A70" s="1"/>
      <c r="B70" s="25">
        <f t="shared" si="8"/>
        <v>282</v>
      </c>
      <c r="C70" s="14">
        <f t="shared" si="10"/>
        <v>23</v>
      </c>
      <c r="D70" s="13">
        <f t="shared" si="9"/>
        <v>20.017573524965321</v>
      </c>
      <c r="E70" s="13">
        <f t="shared" si="9"/>
        <v>18.317968225675813</v>
      </c>
      <c r="F70" s="13">
        <f t="shared" si="9"/>
        <v>16.884388103666403</v>
      </c>
      <c r="G70" s="13">
        <f t="shared" si="9"/>
        <v>15.65890832194868</v>
      </c>
      <c r="H70" s="13">
        <f t="shared" si="9"/>
        <v>14.599282946779219</v>
      </c>
      <c r="I70" s="13">
        <f t="shared" si="9"/>
        <v>13.673976281138282</v>
      </c>
      <c r="J70" s="13">
        <f t="shared" si="9"/>
        <v>12.858971072328716</v>
      </c>
      <c r="K70" s="18">
        <f t="shared" si="9"/>
        <v>12.135653949510226</v>
      </c>
      <c r="L70" s="1"/>
      <c r="M70" s="37"/>
      <c r="N70"/>
      <c r="O70"/>
      <c r="P70"/>
      <c r="Q70" s="82"/>
      <c r="R70"/>
      <c r="S70"/>
      <c r="T70"/>
      <c r="U70" s="295" t="s">
        <v>182</v>
      </c>
      <c r="V70" s="296"/>
      <c r="W70" s="79"/>
      <c r="X70"/>
      <c r="Y70" s="126"/>
      <c r="Z70" s="104"/>
      <c r="AA70" s="104"/>
    </row>
    <row r="71" spans="1:27" ht="15.75" customHeight="1" thickBot="1" x14ac:dyDescent="0.3">
      <c r="A71" s="1"/>
      <c r="B71" s="25">
        <f t="shared" si="8"/>
        <v>276</v>
      </c>
      <c r="C71" s="14">
        <f t="shared" si="10"/>
        <v>24</v>
      </c>
      <c r="D71" s="13">
        <f t="shared" si="9"/>
        <v>21.351653407603301</v>
      </c>
      <c r="E71" s="13">
        <f t="shared" si="9"/>
        <v>19.538777174882263</v>
      </c>
      <c r="F71" s="13">
        <f t="shared" si="9"/>
        <v>18.009655482934956</v>
      </c>
      <c r="G71" s="13">
        <f t="shared" si="9"/>
        <v>16.702503068850966</v>
      </c>
      <c r="H71" s="13">
        <f t="shared" si="9"/>
        <v>15.572258500282105</v>
      </c>
      <c r="I71" s="13">
        <f t="shared" si="9"/>
        <v>14.585284369982535</v>
      </c>
      <c r="J71" s="13">
        <f t="shared" si="9"/>
        <v>13.715962785016687</v>
      </c>
      <c r="K71" s="18">
        <f t="shared" si="9"/>
        <v>12.9444398783595</v>
      </c>
      <c r="L71" s="1"/>
      <c r="M71" s="37"/>
      <c r="N71"/>
      <c r="O71"/>
      <c r="P71"/>
      <c r="Q71" s="78"/>
      <c r="R71"/>
      <c r="S71"/>
      <c r="T71"/>
      <c r="U71" s="276" t="s">
        <v>44</v>
      </c>
      <c r="V71" s="277"/>
      <c r="W71" s="80"/>
      <c r="X71"/>
    </row>
    <row r="72" spans="1:27" ht="15.75" customHeight="1" thickBot="1" x14ac:dyDescent="0.3">
      <c r="A72" s="1"/>
      <c r="B72" s="25">
        <f t="shared" si="8"/>
        <v>270</v>
      </c>
      <c r="C72" s="14">
        <f t="shared" si="10"/>
        <v>26</v>
      </c>
      <c r="D72" s="13">
        <f t="shared" si="9"/>
        <v>22.806963358929764</v>
      </c>
      <c r="E72" s="13">
        <f t="shared" si="9"/>
        <v>20.870523073737616</v>
      </c>
      <c r="F72" s="13">
        <f t="shared" si="9"/>
        <v>19.237177789705974</v>
      </c>
      <c r="G72" s="13">
        <f t="shared" si="9"/>
        <v>17.840931014646671</v>
      </c>
      <c r="H72" s="13">
        <f t="shared" si="9"/>
        <v>16.633649968542759</v>
      </c>
      <c r="I72" s="13">
        <f t="shared" si="9"/>
        <v>15.579404548001317</v>
      </c>
      <c r="J72" s="13">
        <f t="shared" si="9"/>
        <v>14.650830766994616</v>
      </c>
      <c r="K72" s="18">
        <f t="shared" si="9"/>
        <v>13.826721536351169</v>
      </c>
      <c r="L72" s="1"/>
      <c r="M72" s="37"/>
      <c r="N72"/>
      <c r="O72"/>
      <c r="P72"/>
      <c r="Q72" s="78"/>
      <c r="R72"/>
      <c r="S72"/>
      <c r="T72"/>
      <c r="U72"/>
      <c r="V72" s="278"/>
      <c r="W72" s="278"/>
      <c r="X72"/>
    </row>
    <row r="73" spans="1:27" ht="15.75" customHeight="1" thickBot="1" x14ac:dyDescent="0.3">
      <c r="A73" s="1"/>
      <c r="B73" s="25">
        <f t="shared" si="8"/>
        <v>264</v>
      </c>
      <c r="C73" s="14">
        <f t="shared" si="10"/>
        <v>27</v>
      </c>
      <c r="D73" s="13">
        <f t="shared" si="9"/>
        <v>24.150549544176542</v>
      </c>
      <c r="E73" s="13">
        <f t="shared" si="9"/>
        <v>22.100031186652117</v>
      </c>
      <c r="F73" s="13">
        <f t="shared" si="9"/>
        <v>20.370463528566297</v>
      </c>
      <c r="G73" s="13">
        <f t="shared" si="9"/>
        <v>18.891962143428422</v>
      </c>
      <c r="H73" s="13">
        <f t="shared" si="9"/>
        <v>17.613558690113717</v>
      </c>
      <c r="I73" s="13">
        <f t="shared" si="9"/>
        <v>16.497206378768482</v>
      </c>
      <c r="J73" s="13">
        <f t="shared" si="9"/>
        <v>15.513929177384929</v>
      </c>
      <c r="K73" s="18">
        <f t="shared" si="9"/>
        <v>14.641270661157026</v>
      </c>
      <c r="L73" s="1"/>
      <c r="M73" s="37"/>
      <c r="N73"/>
      <c r="O73"/>
      <c r="P73"/>
      <c r="Q73" s="78"/>
      <c r="R73"/>
      <c r="S73"/>
      <c r="T73"/>
      <c r="U73" s="321" t="s">
        <v>7</v>
      </c>
      <c r="V73" s="322"/>
      <c r="W73" s="99" t="s">
        <v>184</v>
      </c>
      <c r="X73"/>
    </row>
    <row r="74" spans="1:27" ht="15.75" customHeight="1" thickBot="1" x14ac:dyDescent="0.3">
      <c r="A74" s="1"/>
      <c r="B74" s="25">
        <f t="shared" si="8"/>
        <v>258</v>
      </c>
      <c r="C74" s="14">
        <f t="shared" si="10"/>
        <v>28</v>
      </c>
      <c r="D74" s="13">
        <f t="shared" si="9"/>
        <v>25.286892329651586</v>
      </c>
      <c r="E74" s="13">
        <f t="shared" si="9"/>
        <v>23.139892037511355</v>
      </c>
      <c r="F74" s="13">
        <f t="shared" si="9"/>
        <v>21.328943965010467</v>
      </c>
      <c r="G74" s="13">
        <f t="shared" si="9"/>
        <v>19.780875451420997</v>
      </c>
      <c r="H74" s="13">
        <f t="shared" si="9"/>
        <v>18.442319969745892</v>
      </c>
      <c r="I74" s="13">
        <f t="shared" si="9"/>
        <v>17.273440535043687</v>
      </c>
      <c r="J74" s="13">
        <f t="shared" si="9"/>
        <v>16.243897721696712</v>
      </c>
      <c r="K74" s="18">
        <f t="shared" si="9"/>
        <v>15.330178474851273</v>
      </c>
      <c r="L74" s="1"/>
      <c r="M74" s="37"/>
      <c r="N74"/>
      <c r="O74"/>
      <c r="P74"/>
      <c r="Q74" s="78"/>
      <c r="R74"/>
      <c r="S74"/>
      <c r="T74"/>
      <c r="U74" s="323" t="s">
        <v>185</v>
      </c>
      <c r="V74" s="324"/>
      <c r="W74" s="325" t="s">
        <v>186</v>
      </c>
      <c r="X74"/>
    </row>
    <row r="75" spans="1:27" ht="15.75" customHeight="1" thickBot="1" x14ac:dyDescent="0.3">
      <c r="A75" s="1"/>
      <c r="B75" s="25">
        <f t="shared" si="8"/>
        <v>252</v>
      </c>
      <c r="C75" s="14">
        <f t="shared" si="10"/>
        <v>30</v>
      </c>
      <c r="D75" s="13">
        <f t="shared" si="9"/>
        <v>26.505365032610985</v>
      </c>
      <c r="E75" s="13">
        <f t="shared" si="9"/>
        <v>24.254909510974205</v>
      </c>
      <c r="F75" s="13">
        <f t="shared" si="9"/>
        <v>22.356699201419701</v>
      </c>
      <c r="G75" s="13">
        <f t="shared" si="9"/>
        <v>20.734035549703755</v>
      </c>
      <c r="H75" s="13">
        <f t="shared" si="9"/>
        <v>19.330980512505757</v>
      </c>
      <c r="I75" s="13">
        <f t="shared" si="9"/>
        <v>18.105777522276519</v>
      </c>
      <c r="J75" s="13">
        <f t="shared" si="9"/>
        <v>17.026625219624275</v>
      </c>
      <c r="K75" s="18">
        <f t="shared" si="9"/>
        <v>16.06887755102041</v>
      </c>
      <c r="L75" s="1"/>
      <c r="M75" s="37"/>
      <c r="N75"/>
      <c r="O75"/>
      <c r="P75"/>
      <c r="Q75" s="83"/>
      <c r="R75"/>
      <c r="S75"/>
      <c r="T75"/>
      <c r="U75" s="323"/>
      <c r="V75" s="324"/>
      <c r="W75" s="325"/>
      <c r="X75"/>
    </row>
    <row r="76" spans="1:27" ht="15.75" customHeight="1" thickBot="1" x14ac:dyDescent="0.3">
      <c r="A76" s="1"/>
      <c r="B76" s="25">
        <f t="shared" si="8"/>
        <v>246</v>
      </c>
      <c r="C76" s="14">
        <f t="shared" si="10"/>
        <v>31</v>
      </c>
      <c r="D76" s="13">
        <f t="shared" si="9"/>
        <v>27.814077285857095</v>
      </c>
      <c r="E76" s="13">
        <f t="shared" si="9"/>
        <v>25.452504686114516</v>
      </c>
      <c r="F76" s="13">
        <f t="shared" si="9"/>
        <v>23.460569536766421</v>
      </c>
      <c r="G76" s="13">
        <f t="shared" si="9"/>
        <v>21.757786263936602</v>
      </c>
      <c r="H76" s="13">
        <f t="shared" si="9"/>
        <v>20.285454862617584</v>
      </c>
      <c r="I76" s="13">
        <f t="shared" si="9"/>
        <v>18.999757019212243</v>
      </c>
      <c r="J76" s="13">
        <f t="shared" si="9"/>
        <v>17.867321170385022</v>
      </c>
      <c r="K76" s="18">
        <f t="shared" si="9"/>
        <v>16.862284354550866</v>
      </c>
      <c r="L76" s="1"/>
      <c r="M76" s="37"/>
      <c r="N76"/>
      <c r="O76"/>
      <c r="P76"/>
      <c r="Q76" s="78"/>
      <c r="R76"/>
      <c r="S76"/>
      <c r="T76"/>
      <c r="U76" s="326" t="s">
        <v>13</v>
      </c>
      <c r="V76" s="327"/>
      <c r="W76" s="89">
        <f>'Span Table '!K8</f>
        <v>3</v>
      </c>
      <c r="X76"/>
    </row>
    <row r="77" spans="1:27" ht="15.75" customHeight="1" thickBot="1" x14ac:dyDescent="0.3">
      <c r="A77" s="1"/>
      <c r="B77" s="25">
        <f t="shared" si="8"/>
        <v>240</v>
      </c>
      <c r="C77" s="14">
        <f t="shared" si="10"/>
        <v>33</v>
      </c>
      <c r="D77" s="13">
        <f t="shared" si="9"/>
        <v>29.222164948453614</v>
      </c>
      <c r="E77" s="13">
        <f t="shared" si="9"/>
        <v>26.741037735849059</v>
      </c>
      <c r="F77" s="13">
        <f t="shared" si="9"/>
        <v>24.648260869565224</v>
      </c>
      <c r="G77" s="13">
        <f t="shared" si="9"/>
        <v>22.859274193548391</v>
      </c>
      <c r="H77" s="13">
        <f t="shared" si="9"/>
        <v>21.312406015037599</v>
      </c>
      <c r="I77" s="13">
        <f t="shared" si="9"/>
        <v>19.961619718309862</v>
      </c>
      <c r="J77" s="13">
        <f t="shared" si="9"/>
        <v>18.771854304635763</v>
      </c>
      <c r="K77" s="18">
        <f t="shared" si="9"/>
        <v>17.715937500000003</v>
      </c>
      <c r="L77" s="1"/>
      <c r="M77" s="37"/>
      <c r="N77" s="37"/>
      <c r="O77" s="37"/>
      <c r="P77" s="37"/>
      <c r="Q77" s="37"/>
      <c r="R77" s="37"/>
      <c r="S77" s="37"/>
      <c r="T77" s="37"/>
      <c r="U77" s="37"/>
      <c r="V77" s="37"/>
    </row>
    <row r="78" spans="1:27" ht="15.75" customHeight="1" thickBot="1" x14ac:dyDescent="0.3">
      <c r="A78" s="1"/>
      <c r="B78" s="25">
        <f t="shared" si="8"/>
        <v>234</v>
      </c>
      <c r="C78" s="14">
        <f t="shared" si="10"/>
        <v>34</v>
      </c>
      <c r="D78" s="13">
        <f t="shared" si="9"/>
        <v>30.739949978649427</v>
      </c>
      <c r="E78" s="13">
        <f t="shared" si="9"/>
        <v>28.12995422574523</v>
      </c>
      <c r="F78" s="13">
        <f t="shared" si="9"/>
        <v>25.928479547208649</v>
      </c>
      <c r="G78" s="13">
        <f t="shared" si="9"/>
        <v>24.046573773620924</v>
      </c>
      <c r="H78" s="13">
        <f t="shared" si="9"/>
        <v>22.419362014503719</v>
      </c>
      <c r="I78" s="13">
        <f t="shared" si="9"/>
        <v>20.998416534711229</v>
      </c>
      <c r="J78" s="13">
        <f t="shared" si="9"/>
        <v>19.746855284297979</v>
      </c>
      <c r="K78" s="18">
        <f t="shared" si="9"/>
        <v>18.636094674556215</v>
      </c>
      <c r="L78" s="1"/>
      <c r="M78" s="37"/>
      <c r="N78" s="37"/>
      <c r="O78" s="37"/>
      <c r="P78" s="37"/>
      <c r="Q78" s="37"/>
      <c r="R78" s="37"/>
      <c r="S78" s="37"/>
      <c r="T78" s="37"/>
      <c r="U78" s="37"/>
      <c r="V78" s="37"/>
    </row>
    <row r="79" spans="1:27" ht="15.75" customHeight="1" thickBot="1" x14ac:dyDescent="0.3">
      <c r="A79" s="1"/>
      <c r="B79" s="25">
        <f t="shared" si="8"/>
        <v>228</v>
      </c>
      <c r="C79" s="14">
        <f t="shared" si="10"/>
        <v>36</v>
      </c>
      <c r="D79" s="13">
        <f t="shared" si="9"/>
        <v>32.379130136790707</v>
      </c>
      <c r="E79" s="13">
        <f t="shared" si="9"/>
        <v>29.629958710082061</v>
      </c>
      <c r="F79" s="13">
        <f t="shared" si="9"/>
        <v>27.311092376249551</v>
      </c>
      <c r="G79" s="13">
        <f t="shared" si="9"/>
        <v>25.328835671521762</v>
      </c>
      <c r="H79" s="13">
        <f t="shared" si="9"/>
        <v>23.614854310290969</v>
      </c>
      <c r="I79" s="13">
        <f t="shared" si="9"/>
        <v>22.11813819203309</v>
      </c>
      <c r="J79" s="13">
        <f t="shared" si="9"/>
        <v>20.799838564693367</v>
      </c>
      <c r="K79" s="18">
        <f t="shared" si="9"/>
        <v>19.629847645429365</v>
      </c>
      <c r="L79" s="1"/>
      <c r="M79" s="37"/>
      <c r="N79" s="315" t="s">
        <v>187</v>
      </c>
      <c r="O79" s="316"/>
      <c r="P79" s="317"/>
      <c r="Q79" s="37"/>
      <c r="R79" s="37"/>
      <c r="S79" s="37"/>
      <c r="T79" s="37"/>
      <c r="U79" s="37"/>
      <c r="V79" s="37"/>
    </row>
    <row r="80" spans="1:27" ht="15.75" customHeight="1" thickBot="1" x14ac:dyDescent="0.3">
      <c r="A80" s="1"/>
      <c r="B80" s="25">
        <f t="shared" si="8"/>
        <v>222</v>
      </c>
      <c r="C80" s="14">
        <f t="shared" si="10"/>
        <v>38</v>
      </c>
      <c r="D80" s="13">
        <f t="shared" si="9"/>
        <v>34.153005052977193</v>
      </c>
      <c r="E80" s="13">
        <f t="shared" si="9"/>
        <v>31.253221605082903</v>
      </c>
      <c r="F80" s="13">
        <f t="shared" si="9"/>
        <v>28.807317305554676</v>
      </c>
      <c r="G80" s="13">
        <f t="shared" si="9"/>
        <v>26.716463630151516</v>
      </c>
      <c r="H80" s="13">
        <f t="shared" si="9"/>
        <v>24.908582632622466</v>
      </c>
      <c r="I80" s="13">
        <f t="shared" si="9"/>
        <v>23.329869648864705</v>
      </c>
      <c r="J80" s="13">
        <f t="shared" si="9"/>
        <v>21.939347616813166</v>
      </c>
      <c r="K80" s="18">
        <f t="shared" si="9"/>
        <v>20.705259313367424</v>
      </c>
      <c r="L80" s="1"/>
      <c r="M80" s="37"/>
      <c r="N80" s="282">
        <f>W64*0.5*12</f>
        <v>58.666666666666657</v>
      </c>
      <c r="O80" s="283"/>
      <c r="P80" s="284"/>
      <c r="Q80" s="98">
        <f>MATCH(N80,C66:H66,0)</f>
        <v>1</v>
      </c>
      <c r="R80" s="37"/>
      <c r="S80" s="37"/>
      <c r="T80" s="37"/>
      <c r="U80" s="37"/>
      <c r="V80" s="37"/>
    </row>
    <row r="81" spans="1:22" ht="15.75" customHeight="1" thickBot="1" x14ac:dyDescent="0.3">
      <c r="A81" s="1"/>
      <c r="B81" s="25">
        <f t="shared" si="8"/>
        <v>216</v>
      </c>
      <c r="C81" s="14">
        <f t="shared" si="10"/>
        <v>40</v>
      </c>
      <c r="D81" s="13">
        <f t="shared" si="9"/>
        <v>36.07674684994273</v>
      </c>
      <c r="E81" s="13">
        <f t="shared" si="9"/>
        <v>33.013626834381554</v>
      </c>
      <c r="F81" s="13">
        <f t="shared" si="9"/>
        <v>30.429951690821259</v>
      </c>
      <c r="G81" s="13">
        <f t="shared" si="9"/>
        <v>28.221326164874554</v>
      </c>
      <c r="H81" s="13">
        <f t="shared" si="9"/>
        <v>26.311612364243945</v>
      </c>
      <c r="I81" s="13">
        <f t="shared" si="9"/>
        <v>24.643974960876371</v>
      </c>
      <c r="J81" s="13">
        <f t="shared" si="9"/>
        <v>23.175128771155261</v>
      </c>
      <c r="K81" s="18">
        <f t="shared" si="9"/>
        <v>21.871527777777779</v>
      </c>
      <c r="L81" s="1"/>
      <c r="M81" s="37"/>
      <c r="N81" s="269" t="s">
        <v>173</v>
      </c>
      <c r="O81" s="270"/>
      <c r="P81" s="271"/>
      <c r="Q81" s="96"/>
      <c r="R81" s="37"/>
      <c r="S81" s="37"/>
      <c r="T81" s="37"/>
      <c r="U81" s="37"/>
      <c r="V81" s="37"/>
    </row>
    <row r="82" spans="1:22" ht="15.75" customHeight="1" thickBot="1" x14ac:dyDescent="0.3">
      <c r="A82" s="1"/>
      <c r="B82" s="25">
        <f t="shared" si="8"/>
        <v>210</v>
      </c>
      <c r="C82" s="14">
        <f t="shared" si="10"/>
        <v>43</v>
      </c>
      <c r="D82" s="13">
        <f t="shared" si="9"/>
        <v>38.167725646959823</v>
      </c>
      <c r="E82" s="13">
        <f t="shared" si="9"/>
        <v>34.927069695802857</v>
      </c>
      <c r="F82" s="13">
        <f t="shared" si="9"/>
        <v>32.193646850044367</v>
      </c>
      <c r="G82" s="13">
        <f t="shared" si="9"/>
        <v>29.857011191573406</v>
      </c>
      <c r="H82" s="13">
        <f t="shared" si="9"/>
        <v>27.836611938008289</v>
      </c>
      <c r="I82" s="13">
        <f t="shared" si="9"/>
        <v>26.072319632078187</v>
      </c>
      <c r="J82" s="13">
        <f t="shared" si="9"/>
        <v>24.518340316258953</v>
      </c>
      <c r="K82" s="18">
        <f t="shared" si="9"/>
        <v>23.139183673469386</v>
      </c>
      <c r="L82" s="1"/>
      <c r="M82" s="37"/>
      <c r="N82" s="282">
        <f>ROUNDUP(('Design Loads'!Q57),0)</f>
        <v>22</v>
      </c>
      <c r="O82" s="283"/>
      <c r="P82" s="284"/>
      <c r="Q82" s="102">
        <f>MATCH(N82,J64:J98,1)</f>
        <v>17</v>
      </c>
      <c r="R82" s="37"/>
      <c r="S82" s="37"/>
      <c r="T82" s="37"/>
      <c r="U82" s="37"/>
      <c r="V82" s="37"/>
    </row>
    <row r="83" spans="1:22" ht="15.75" customHeight="1" thickBot="1" x14ac:dyDescent="0.3">
      <c r="A83" s="1"/>
      <c r="B83" s="25">
        <f t="shared" si="8"/>
        <v>204</v>
      </c>
      <c r="C83" s="14">
        <f t="shared" si="10"/>
        <v>45</v>
      </c>
      <c r="D83" s="13">
        <f t="shared" ref="D83:K83" si="11">+MIN((15000*8*$J$6*144)/(D$66*$B83^2),(($B83/120)*384*144*10000000*$J$4)/(5*D$66*$B83^4))</f>
        <v>40.445903042842374</v>
      </c>
      <c r="E83" s="13">
        <f t="shared" si="11"/>
        <v>37.011816935431227</v>
      </c>
      <c r="F83" s="13">
        <f t="shared" si="11"/>
        <v>34.115239957875737</v>
      </c>
      <c r="G83" s="13">
        <f t="shared" si="11"/>
        <v>31.639133831900885</v>
      </c>
      <c r="H83" s="13">
        <f t="shared" si="11"/>
        <v>29.498139813200826</v>
      </c>
      <c r="I83" s="13">
        <f t="shared" si="11"/>
        <v>27.628539402504998</v>
      </c>
      <c r="J83" s="13">
        <f t="shared" si="11"/>
        <v>25.981805265931854</v>
      </c>
      <c r="K83" s="18">
        <f t="shared" si="11"/>
        <v>24.520328719723182</v>
      </c>
      <c r="L83" s="1"/>
      <c r="M83" s="37"/>
      <c r="N83" s="269" t="s">
        <v>188</v>
      </c>
      <c r="O83" s="270"/>
      <c r="P83" s="271"/>
      <c r="Q83" s="120"/>
      <c r="R83" s="37"/>
      <c r="S83" s="37"/>
      <c r="T83" s="37"/>
      <c r="U83" s="37"/>
      <c r="V83" s="37"/>
    </row>
    <row r="84" spans="1:22" ht="15.75" customHeight="1" thickBot="1" x14ac:dyDescent="0.3">
      <c r="A84" s="1"/>
      <c r="B84" s="25">
        <f t="shared" si="8"/>
        <v>198</v>
      </c>
      <c r="C84" s="14">
        <f t="shared" si="10"/>
        <v>48</v>
      </c>
      <c r="D84" s="13">
        <f t="shared" ref="D84:K99" si="12">+MIN((15000*8*$J$6*144)/(D$66*$B84^2),(($B84/120)*384*144*10000000*$J$4)/(5*D$66*$B84^4))</f>
        <v>42.934310300758291</v>
      </c>
      <c r="E84" s="13">
        <f t="shared" si="12"/>
        <v>39.288944331825988</v>
      </c>
      <c r="F84" s="13">
        <f t="shared" si="12"/>
        <v>36.214157384117861</v>
      </c>
      <c r="G84" s="13">
        <f t="shared" si="12"/>
        <v>33.585710477206085</v>
      </c>
      <c r="H84" s="13">
        <f t="shared" si="12"/>
        <v>31.31299322686883</v>
      </c>
      <c r="I84" s="13">
        <f t="shared" si="12"/>
        <v>29.32836689558841</v>
      </c>
      <c r="J84" s="13">
        <f t="shared" si="12"/>
        <v>27.580318537573206</v>
      </c>
      <c r="K84" s="18">
        <f t="shared" si="12"/>
        <v>26.028925619834713</v>
      </c>
      <c r="L84" s="1"/>
      <c r="M84" s="37"/>
      <c r="N84" s="334">
        <f>INDEX(B67:B101,MATCH(N82,C67:C101,1),1)</f>
        <v>288</v>
      </c>
      <c r="O84" s="335"/>
      <c r="P84" s="336"/>
      <c r="R84" s="37"/>
      <c r="S84" s="37"/>
      <c r="T84" s="37"/>
      <c r="U84" s="37"/>
      <c r="V84" s="37"/>
    </row>
    <row r="85" spans="1:22" ht="15.75" customHeight="1" thickBot="1" x14ac:dyDescent="0.3">
      <c r="A85" s="1"/>
      <c r="B85" s="25">
        <f t="shared" si="8"/>
        <v>192</v>
      </c>
      <c r="C85" s="14">
        <f t="shared" si="10"/>
        <v>51</v>
      </c>
      <c r="D85" s="13">
        <f t="shared" si="12"/>
        <v>45.659632731958773</v>
      </c>
      <c r="E85" s="13">
        <f t="shared" si="12"/>
        <v>41.782871462264161</v>
      </c>
      <c r="F85" s="13">
        <f t="shared" si="12"/>
        <v>38.512907608695656</v>
      </c>
      <c r="G85" s="13">
        <f t="shared" si="12"/>
        <v>35.717615927419359</v>
      </c>
      <c r="H85" s="13">
        <f t="shared" si="12"/>
        <v>33.300634398496243</v>
      </c>
      <c r="I85" s="13">
        <f t="shared" si="12"/>
        <v>31.190030809859159</v>
      </c>
      <c r="J85" s="13">
        <f t="shared" si="12"/>
        <v>29.331022350993383</v>
      </c>
      <c r="K85" s="18">
        <f t="shared" si="12"/>
        <v>27.681152343750004</v>
      </c>
      <c r="L85" s="1"/>
      <c r="M85" s="37"/>
      <c r="N85" s="37"/>
      <c r="O85" s="37"/>
      <c r="P85" s="37"/>
      <c r="Q85" s="37"/>
      <c r="R85" s="37"/>
      <c r="S85" s="37"/>
      <c r="T85" s="37"/>
      <c r="U85" s="37"/>
      <c r="V85" s="37"/>
    </row>
    <row r="86" spans="1:22" ht="15.75" customHeight="1" thickBot="1" x14ac:dyDescent="0.3">
      <c r="A86" s="1"/>
      <c r="B86" s="25">
        <f t="shared" si="8"/>
        <v>186</v>
      </c>
      <c r="C86" s="14">
        <f t="shared" si="10"/>
        <v>54</v>
      </c>
      <c r="D86" s="13">
        <f t="shared" si="12"/>
        <v>48.652928113970638</v>
      </c>
      <c r="E86" s="13">
        <f t="shared" si="12"/>
        <v>44.522019123161812</v>
      </c>
      <c r="F86" s="13">
        <f t="shared" si="12"/>
        <v>41.037687191783931</v>
      </c>
      <c r="G86" s="13">
        <f t="shared" si="12"/>
        <v>38.05914537947703</v>
      </c>
      <c r="H86" s="13">
        <f t="shared" si="12"/>
        <v>35.483714489136482</v>
      </c>
      <c r="I86" s="13">
        <f t="shared" si="12"/>
        <v>33.234746669402476</v>
      </c>
      <c r="J86" s="13">
        <f t="shared" si="12"/>
        <v>31.253867728842064</v>
      </c>
      <c r="K86" s="18">
        <f t="shared" si="12"/>
        <v>29.495837669094698</v>
      </c>
      <c r="L86" s="1"/>
      <c r="M86" s="37"/>
      <c r="O86" s="37"/>
      <c r="P86" s="37"/>
      <c r="Q86" s="37"/>
      <c r="R86" s="37"/>
      <c r="S86" s="37"/>
      <c r="T86" s="37"/>
      <c r="U86" s="37"/>
      <c r="V86" s="37"/>
    </row>
    <row r="87" spans="1:22" ht="15.75" customHeight="1" thickBot="1" x14ac:dyDescent="0.3">
      <c r="A87" s="1"/>
      <c r="B87" s="25">
        <f t="shared" si="8"/>
        <v>180</v>
      </c>
      <c r="C87" s="14">
        <f t="shared" si="10"/>
        <v>58</v>
      </c>
      <c r="D87" s="13">
        <f t="shared" si="12"/>
        <v>51.950515463917533</v>
      </c>
      <c r="E87" s="13">
        <f t="shared" si="12"/>
        <v>47.539622641509446</v>
      </c>
      <c r="F87" s="13">
        <f t="shared" si="12"/>
        <v>43.819130434782615</v>
      </c>
      <c r="G87" s="13">
        <f t="shared" si="12"/>
        <v>40.638709677419364</v>
      </c>
      <c r="H87" s="13">
        <f t="shared" si="12"/>
        <v>37.888721804511285</v>
      </c>
      <c r="I87" s="13">
        <f t="shared" si="12"/>
        <v>35.487323943661977</v>
      </c>
      <c r="J87" s="13">
        <f t="shared" si="12"/>
        <v>33.372185430463581</v>
      </c>
      <c r="K87" s="18">
        <f t="shared" si="12"/>
        <v>31.495000000000005</v>
      </c>
      <c r="L87" s="1"/>
      <c r="M87" s="37"/>
      <c r="N87" s="37"/>
      <c r="O87" s="37"/>
      <c r="P87" s="37"/>
      <c r="Q87" s="37"/>
      <c r="R87" s="37"/>
      <c r="S87" s="37"/>
      <c r="T87" s="37"/>
      <c r="U87" s="37"/>
      <c r="V87" s="37"/>
    </row>
    <row r="88" spans="1:22" ht="15.75" customHeight="1" thickBot="1" x14ac:dyDescent="0.3">
      <c r="A88" s="1"/>
      <c r="B88" s="25">
        <f t="shared" si="8"/>
        <v>174</v>
      </c>
      <c r="C88" s="14">
        <f t="shared" si="10"/>
        <v>62</v>
      </c>
      <c r="D88" s="13">
        <f t="shared" si="12"/>
        <v>55.595081947117457</v>
      </c>
      <c r="E88" s="13">
        <f t="shared" si="12"/>
        <v>50.874744800664089</v>
      </c>
      <c r="F88" s="13">
        <f t="shared" si="12"/>
        <v>46.893243033655594</v>
      </c>
      <c r="G88" s="13">
        <f t="shared" si="12"/>
        <v>43.489701200567687</v>
      </c>
      <c r="H88" s="13">
        <f t="shared" si="12"/>
        <v>40.546789089251078</v>
      </c>
      <c r="I88" s="13">
        <f t="shared" si="12"/>
        <v>37.976922175143613</v>
      </c>
      <c r="J88" s="13">
        <f t="shared" si="12"/>
        <v>35.713397012386707</v>
      </c>
      <c r="K88" s="18">
        <f t="shared" si="12"/>
        <v>33.704518430439954</v>
      </c>
      <c r="L88" s="1"/>
      <c r="M88" s="37"/>
      <c r="N88" s="37"/>
      <c r="O88" s="37"/>
      <c r="P88" s="37"/>
      <c r="Q88" s="37"/>
      <c r="R88" s="37"/>
      <c r="S88" s="37"/>
      <c r="T88" s="37"/>
      <c r="U88" s="37"/>
      <c r="V88" s="37"/>
    </row>
    <row r="89" spans="1:22" ht="15.75" customHeight="1" thickBot="1" x14ac:dyDescent="0.3">
      <c r="A89" s="1"/>
      <c r="B89" s="25">
        <f t="shared" si="8"/>
        <v>168</v>
      </c>
      <c r="C89" s="14">
        <f t="shared" si="10"/>
        <v>66</v>
      </c>
      <c r="D89" s="13">
        <f t="shared" si="12"/>
        <v>59.63707132337472</v>
      </c>
      <c r="E89" s="13">
        <f t="shared" si="12"/>
        <v>54.573546399691956</v>
      </c>
      <c r="F89" s="13">
        <f t="shared" si="12"/>
        <v>50.302573203194335</v>
      </c>
      <c r="G89" s="13">
        <f t="shared" si="12"/>
        <v>46.651579986833454</v>
      </c>
      <c r="H89" s="13">
        <f t="shared" si="12"/>
        <v>43.494706153137955</v>
      </c>
      <c r="I89" s="13">
        <f t="shared" si="12"/>
        <v>40.737999425122169</v>
      </c>
      <c r="J89" s="13">
        <f t="shared" si="12"/>
        <v>38.309906744154624</v>
      </c>
      <c r="K89" s="18">
        <f t="shared" si="12"/>
        <v>36.154974489795926</v>
      </c>
      <c r="L89" s="1"/>
      <c r="M89" s="37"/>
      <c r="N89" s="37"/>
      <c r="O89" s="37"/>
      <c r="P89" s="37"/>
      <c r="Q89" s="37"/>
      <c r="R89" s="37"/>
      <c r="S89" s="37"/>
      <c r="T89" s="37"/>
      <c r="U89" s="37"/>
      <c r="V89" s="37"/>
    </row>
    <row r="90" spans="1:22" ht="15.75" customHeight="1" thickBot="1" x14ac:dyDescent="0.3">
      <c r="A90" s="1"/>
      <c r="B90" s="25">
        <f t="shared" si="8"/>
        <v>162</v>
      </c>
      <c r="C90" s="14">
        <f t="shared" si="10"/>
        <v>71</v>
      </c>
      <c r="D90" s="13">
        <f t="shared" si="12"/>
        <v>64.136438844342635</v>
      </c>
      <c r="E90" s="13">
        <f t="shared" si="12"/>
        <v>58.690892150011656</v>
      </c>
      <c r="F90" s="13">
        <f t="shared" si="12"/>
        <v>54.09769189479335</v>
      </c>
      <c r="G90" s="13">
        <f t="shared" si="12"/>
        <v>50.171246515332548</v>
      </c>
      <c r="H90" s="13">
        <f t="shared" si="12"/>
        <v>46.776199758655906</v>
      </c>
      <c r="I90" s="13">
        <f t="shared" si="12"/>
        <v>43.811511041557999</v>
      </c>
      <c r="J90" s="13">
        <f t="shared" si="12"/>
        <v>41.200228926498248</v>
      </c>
      <c r="K90" s="18">
        <f t="shared" si="12"/>
        <v>38.882716049382722</v>
      </c>
      <c r="L90" s="1"/>
      <c r="M90" s="37"/>
      <c r="N90" s="37"/>
      <c r="O90" s="37"/>
      <c r="P90" s="37"/>
      <c r="Q90" s="37"/>
      <c r="R90" s="37"/>
      <c r="S90" s="37"/>
      <c r="T90" s="37"/>
      <c r="U90" s="37"/>
      <c r="V90" s="37"/>
    </row>
    <row r="91" spans="1:22" ht="15.75" customHeight="1" thickBot="1" x14ac:dyDescent="0.3">
      <c r="A91" s="1"/>
      <c r="B91" s="25">
        <f t="shared" si="8"/>
        <v>156</v>
      </c>
      <c r="C91" s="14">
        <f t="shared" si="10"/>
        <v>77</v>
      </c>
      <c r="D91" s="13">
        <f t="shared" si="12"/>
        <v>69.164887451961206</v>
      </c>
      <c r="E91" s="13">
        <f t="shared" si="12"/>
        <v>63.292397007926773</v>
      </c>
      <c r="F91" s="13">
        <f t="shared" si="12"/>
        <v>58.339078981219458</v>
      </c>
      <c r="G91" s="13">
        <f t="shared" si="12"/>
        <v>54.104790990647075</v>
      </c>
      <c r="H91" s="13">
        <f t="shared" si="12"/>
        <v>50.44356453263336</v>
      </c>
      <c r="I91" s="13">
        <f t="shared" si="12"/>
        <v>47.246437203100257</v>
      </c>
      <c r="J91" s="13">
        <f t="shared" si="12"/>
        <v>44.430424389670442</v>
      </c>
      <c r="K91" s="18">
        <f t="shared" si="12"/>
        <v>41.931213017751482</v>
      </c>
      <c r="L91" s="1"/>
      <c r="M91" s="37"/>
      <c r="N91" s="37"/>
      <c r="O91" s="37"/>
      <c r="P91" s="37"/>
      <c r="Q91" s="37"/>
      <c r="R91" s="37"/>
      <c r="S91" s="37"/>
      <c r="T91" s="37"/>
      <c r="U91" s="37"/>
      <c r="V91" s="37"/>
    </row>
    <row r="92" spans="1:22" ht="15.75" customHeight="1" thickBot="1" x14ac:dyDescent="0.3">
      <c r="A92" s="1"/>
      <c r="B92" s="25">
        <f t="shared" si="8"/>
        <v>150</v>
      </c>
      <c r="C92" s="14">
        <f t="shared" si="10"/>
        <v>83</v>
      </c>
      <c r="D92" s="13">
        <f t="shared" si="12"/>
        <v>74.808742268041243</v>
      </c>
      <c r="E92" s="13">
        <f t="shared" si="12"/>
        <v>68.457056603773594</v>
      </c>
      <c r="F92" s="13">
        <f t="shared" si="12"/>
        <v>63.099547826086962</v>
      </c>
      <c r="G92" s="13">
        <f t="shared" si="12"/>
        <v>58.519741935483879</v>
      </c>
      <c r="H92" s="13">
        <f t="shared" si="12"/>
        <v>54.559759398496247</v>
      </c>
      <c r="I92" s="13">
        <f t="shared" si="12"/>
        <v>51.101746478873238</v>
      </c>
      <c r="J92" s="13">
        <f t="shared" si="12"/>
        <v>48.055947019867553</v>
      </c>
      <c r="K92" s="18">
        <f t="shared" si="12"/>
        <v>45.352800000000002</v>
      </c>
      <c r="L92" s="1"/>
      <c r="M92" s="37"/>
      <c r="N92" s="37"/>
      <c r="O92" s="37"/>
      <c r="P92" s="37"/>
      <c r="Q92" s="37"/>
      <c r="R92" s="37"/>
      <c r="S92" s="37"/>
      <c r="T92" s="37"/>
      <c r="U92" s="37"/>
      <c r="V92" s="37"/>
    </row>
    <row r="93" spans="1:22" ht="15.75" customHeight="1" thickBot="1" x14ac:dyDescent="0.3">
      <c r="A93" s="1"/>
      <c r="B93" s="25">
        <f t="shared" si="8"/>
        <v>144</v>
      </c>
      <c r="C93" s="14">
        <f t="shared" si="10"/>
        <v>90</v>
      </c>
      <c r="D93" s="13">
        <f t="shared" si="12"/>
        <v>81.17268041237115</v>
      </c>
      <c r="E93" s="13">
        <f t="shared" si="12"/>
        <v>74.280660377358501</v>
      </c>
      <c r="F93" s="13">
        <f t="shared" si="12"/>
        <v>68.467391304347842</v>
      </c>
      <c r="G93" s="13">
        <f t="shared" si="12"/>
        <v>63.497983870967751</v>
      </c>
      <c r="H93" s="13">
        <f t="shared" si="12"/>
        <v>59.20112781954888</v>
      </c>
      <c r="I93" s="13">
        <f t="shared" si="12"/>
        <v>55.448943661971839</v>
      </c>
      <c r="J93" s="13">
        <f t="shared" si="12"/>
        <v>52.144039735099341</v>
      </c>
      <c r="K93" s="18">
        <f t="shared" si="12"/>
        <v>49.2109375</v>
      </c>
      <c r="L93" s="1"/>
      <c r="M93" s="37"/>
      <c r="N93" s="37"/>
      <c r="O93" s="37"/>
      <c r="P93" s="37"/>
      <c r="Q93" s="37"/>
      <c r="R93" s="37"/>
      <c r="S93" s="37"/>
      <c r="T93" s="37"/>
      <c r="U93" s="37"/>
      <c r="V93" s="37"/>
    </row>
    <row r="94" spans="1:22" ht="15.75" customHeight="1" thickBot="1" x14ac:dyDescent="0.3">
      <c r="A94" s="1"/>
      <c r="B94" s="25">
        <f t="shared" si="8"/>
        <v>138</v>
      </c>
      <c r="C94" s="14">
        <f t="shared" si="10"/>
        <v>98</v>
      </c>
      <c r="D94" s="13">
        <f t="shared" si="12"/>
        <v>88.384619881901287</v>
      </c>
      <c r="E94" s="13">
        <f t="shared" si="12"/>
        <v>80.880265363626648</v>
      </c>
      <c r="F94" s="13">
        <f t="shared" si="12"/>
        <v>74.550505465603692</v>
      </c>
      <c r="G94" s="13">
        <f t="shared" si="12"/>
        <v>69.139581681809872</v>
      </c>
      <c r="H94" s="13">
        <f t="shared" si="12"/>
        <v>64.46096337251447</v>
      </c>
      <c r="I94" s="13">
        <f t="shared" si="12"/>
        <v>60.375409355946651</v>
      </c>
      <c r="J94" s="13">
        <f t="shared" si="12"/>
        <v>56.776875023473011</v>
      </c>
      <c r="K94" s="18">
        <f t="shared" si="12"/>
        <v>53.583175803402654</v>
      </c>
      <c r="L94" s="1"/>
      <c r="M94" s="37"/>
      <c r="N94" s="37"/>
      <c r="O94" s="37"/>
      <c r="P94" s="37"/>
      <c r="Q94" s="37"/>
      <c r="R94" s="37"/>
      <c r="S94" s="37"/>
      <c r="T94" s="37"/>
      <c r="U94" s="37"/>
      <c r="V94" s="37"/>
    </row>
    <row r="95" spans="1:22" ht="15.75" customHeight="1" thickBot="1" x14ac:dyDescent="0.3">
      <c r="A95" s="1"/>
      <c r="B95" s="25">
        <f t="shared" si="8"/>
        <v>132</v>
      </c>
      <c r="C95" s="14">
        <f t="shared" si="10"/>
        <v>107</v>
      </c>
      <c r="D95" s="13">
        <f t="shared" si="12"/>
        <v>96.602198176706167</v>
      </c>
      <c r="E95" s="13">
        <f t="shared" si="12"/>
        <v>88.400124746608469</v>
      </c>
      <c r="F95" s="13">
        <f t="shared" si="12"/>
        <v>81.48185411426519</v>
      </c>
      <c r="G95" s="13">
        <f t="shared" si="12"/>
        <v>75.56784857371369</v>
      </c>
      <c r="H95" s="13">
        <f t="shared" si="12"/>
        <v>70.454234760454867</v>
      </c>
      <c r="I95" s="13">
        <f t="shared" si="12"/>
        <v>65.988825515073927</v>
      </c>
      <c r="J95" s="13">
        <f t="shared" si="12"/>
        <v>62.055716709539716</v>
      </c>
      <c r="K95" s="18">
        <f t="shared" si="12"/>
        <v>58.565082644628106</v>
      </c>
      <c r="L95" s="1"/>
      <c r="M95" s="37"/>
      <c r="N95" s="37"/>
      <c r="O95" s="37"/>
      <c r="P95" s="37"/>
      <c r="Q95" s="37"/>
      <c r="R95" s="37"/>
      <c r="S95" s="37"/>
      <c r="T95" s="37"/>
      <c r="U95" s="37"/>
      <c r="V95" s="37"/>
    </row>
    <row r="96" spans="1:22" ht="15.75" customHeight="1" thickBot="1" x14ac:dyDescent="0.3">
      <c r="A96" s="1"/>
      <c r="B96" s="25">
        <f t="shared" si="8"/>
        <v>126</v>
      </c>
      <c r="C96" s="14">
        <f t="shared" si="10"/>
        <v>117</v>
      </c>
      <c r="D96" s="13">
        <f t="shared" si="12"/>
        <v>106.02146013044394</v>
      </c>
      <c r="E96" s="13">
        <f t="shared" si="12"/>
        <v>97.019638043896819</v>
      </c>
      <c r="F96" s="13">
        <f t="shared" si="12"/>
        <v>89.426796805678805</v>
      </c>
      <c r="G96" s="13">
        <f t="shared" si="12"/>
        <v>82.93614219881502</v>
      </c>
      <c r="H96" s="13">
        <f t="shared" si="12"/>
        <v>77.323922050023029</v>
      </c>
      <c r="I96" s="13">
        <f t="shared" si="12"/>
        <v>72.423110089106075</v>
      </c>
      <c r="J96" s="13">
        <f t="shared" si="12"/>
        <v>68.106500878497101</v>
      </c>
      <c r="K96" s="18">
        <f t="shared" si="12"/>
        <v>64.275510204081641</v>
      </c>
      <c r="L96" s="1"/>
      <c r="M96" s="37"/>
      <c r="N96" s="37"/>
      <c r="O96" s="37"/>
      <c r="P96" s="37"/>
      <c r="Q96" s="37"/>
      <c r="R96" s="37"/>
      <c r="S96" s="37"/>
      <c r="T96" s="37"/>
      <c r="U96" s="37"/>
      <c r="V96" s="37"/>
    </row>
    <row r="97" spans="1:22" ht="15.75" customHeight="1" thickBot="1" x14ac:dyDescent="0.3">
      <c r="A97" s="1"/>
      <c r="B97" s="25">
        <f t="shared" si="8"/>
        <v>120</v>
      </c>
      <c r="C97" s="14">
        <f t="shared" si="10"/>
        <v>129</v>
      </c>
      <c r="D97" s="13">
        <f t="shared" si="12"/>
        <v>116.88865979381445</v>
      </c>
      <c r="E97" s="13">
        <f t="shared" si="12"/>
        <v>106.96415094339623</v>
      </c>
      <c r="F97" s="13">
        <f t="shared" si="12"/>
        <v>98.593043478260896</v>
      </c>
      <c r="G97" s="13">
        <f t="shared" si="12"/>
        <v>91.437096774193563</v>
      </c>
      <c r="H97" s="13">
        <f t="shared" si="12"/>
        <v>85.249624060150396</v>
      </c>
      <c r="I97" s="13">
        <f t="shared" si="12"/>
        <v>79.846478873239448</v>
      </c>
      <c r="J97" s="13">
        <f t="shared" si="12"/>
        <v>75.087417218543052</v>
      </c>
      <c r="K97" s="18">
        <f t="shared" si="12"/>
        <v>70.86375000000001</v>
      </c>
      <c r="L97" s="1"/>
      <c r="M97" s="37"/>
      <c r="N97" s="37"/>
      <c r="O97" s="37"/>
      <c r="P97" s="37"/>
      <c r="Q97" s="37"/>
      <c r="R97" s="37"/>
      <c r="S97" s="37"/>
      <c r="T97" s="37"/>
      <c r="U97" s="37"/>
      <c r="V97" s="37"/>
    </row>
    <row r="98" spans="1:22" ht="15.75" customHeight="1" thickBot="1" x14ac:dyDescent="0.3">
      <c r="A98" s="1"/>
      <c r="B98" s="25">
        <f t="shared" si="8"/>
        <v>114</v>
      </c>
      <c r="C98" s="14">
        <f t="shared" si="10"/>
        <v>143</v>
      </c>
      <c r="D98" s="13">
        <f t="shared" si="12"/>
        <v>129.51652054716283</v>
      </c>
      <c r="E98" s="13">
        <f t="shared" si="12"/>
        <v>118.51983484032824</v>
      </c>
      <c r="F98" s="13">
        <f t="shared" si="12"/>
        <v>109.2443695049982</v>
      </c>
      <c r="G98" s="13">
        <f t="shared" si="12"/>
        <v>101.31534268608705</v>
      </c>
      <c r="H98" s="13">
        <f t="shared" si="12"/>
        <v>94.459417241163877</v>
      </c>
      <c r="I98" s="13">
        <f t="shared" si="12"/>
        <v>88.47255276813236</v>
      </c>
      <c r="J98" s="13">
        <f t="shared" si="12"/>
        <v>83.199354258773468</v>
      </c>
      <c r="K98" s="18">
        <f t="shared" si="12"/>
        <v>78.51939058171746</v>
      </c>
      <c r="L98" s="1"/>
      <c r="M98" s="37"/>
      <c r="N98" s="37"/>
      <c r="O98" s="37"/>
      <c r="P98" s="37"/>
      <c r="Q98" s="37"/>
      <c r="R98" s="37"/>
      <c r="S98" s="37"/>
      <c r="T98" s="37"/>
      <c r="U98" s="37"/>
      <c r="V98" s="37"/>
    </row>
    <row r="99" spans="1:22" ht="15.75" customHeight="1" thickBot="1" x14ac:dyDescent="0.3">
      <c r="A99" s="1"/>
      <c r="B99" s="25">
        <f>+B100+6</f>
        <v>108</v>
      </c>
      <c r="C99" s="14">
        <f t="shared" si="10"/>
        <v>160</v>
      </c>
      <c r="D99" s="13">
        <f t="shared" si="12"/>
        <v>144.30698739977092</v>
      </c>
      <c r="E99" s="13">
        <f t="shared" si="12"/>
        <v>132.05450733752622</v>
      </c>
      <c r="F99" s="13">
        <f t="shared" si="12"/>
        <v>121.71980676328504</v>
      </c>
      <c r="G99" s="13">
        <f t="shared" si="12"/>
        <v>112.88530465949822</v>
      </c>
      <c r="H99" s="13">
        <f t="shared" si="12"/>
        <v>105.24644945697578</v>
      </c>
      <c r="I99" s="13">
        <f t="shared" si="12"/>
        <v>98.575899843505482</v>
      </c>
      <c r="J99" s="13">
        <f t="shared" si="12"/>
        <v>92.700515084621046</v>
      </c>
      <c r="K99" s="18">
        <f t="shared" si="12"/>
        <v>87.486111111111114</v>
      </c>
      <c r="L99" s="1"/>
      <c r="M99" s="37"/>
      <c r="N99" s="37"/>
      <c r="O99" s="37"/>
      <c r="P99" s="37"/>
      <c r="Q99" s="37"/>
      <c r="R99" s="37"/>
      <c r="S99" s="37"/>
      <c r="T99" s="37"/>
      <c r="U99" s="37"/>
      <c r="V99" s="37"/>
    </row>
    <row r="100" spans="1:22" ht="15.75" customHeight="1" thickBot="1" x14ac:dyDescent="0.3">
      <c r="A100" s="1"/>
      <c r="B100" s="25">
        <f>+B101+6</f>
        <v>102</v>
      </c>
      <c r="C100" s="14">
        <f t="shared" si="10"/>
        <v>179</v>
      </c>
      <c r="D100" s="13">
        <f t="shared" ref="D100:K101" si="13">+MIN((15000*8*$J$6*144)/(D$66*$B100^2),(($B100/120)*384*144*10000000*$J$4)/(5*D$66*$B100^4))</f>
        <v>161.7836121713695</v>
      </c>
      <c r="E100" s="13">
        <f t="shared" si="13"/>
        <v>148.04726774172491</v>
      </c>
      <c r="F100" s="13">
        <f t="shared" si="13"/>
        <v>136.46095983150295</v>
      </c>
      <c r="G100" s="13">
        <f t="shared" si="13"/>
        <v>126.55653532760354</v>
      </c>
      <c r="H100" s="13">
        <f t="shared" si="13"/>
        <v>117.9925592528033</v>
      </c>
      <c r="I100" s="13">
        <f t="shared" si="13"/>
        <v>110.51415761001999</v>
      </c>
      <c r="J100" s="13">
        <f t="shared" si="13"/>
        <v>103.92722106372742</v>
      </c>
      <c r="K100" s="18">
        <f t="shared" si="13"/>
        <v>98.081314878892726</v>
      </c>
      <c r="L100" s="1"/>
      <c r="M100" s="37"/>
      <c r="R100" s="37"/>
      <c r="S100" s="37"/>
      <c r="T100" s="37"/>
      <c r="U100" s="37"/>
      <c r="V100" s="37"/>
    </row>
    <row r="101" spans="1:22" ht="15.75" customHeight="1" thickBot="1" x14ac:dyDescent="0.3">
      <c r="A101" s="1"/>
      <c r="B101" s="26">
        <v>96</v>
      </c>
      <c r="C101" s="14">
        <f t="shared" si="10"/>
        <v>202</v>
      </c>
      <c r="D101" s="20">
        <f t="shared" si="13"/>
        <v>182.63853092783509</v>
      </c>
      <c r="E101" s="20">
        <f t="shared" si="13"/>
        <v>167.13148584905665</v>
      </c>
      <c r="F101" s="20">
        <f t="shared" si="13"/>
        <v>154.05163043478262</v>
      </c>
      <c r="G101" s="20">
        <f t="shared" si="13"/>
        <v>142.87046370967744</v>
      </c>
      <c r="H101" s="20">
        <f t="shared" si="13"/>
        <v>133.20253759398497</v>
      </c>
      <c r="I101" s="20">
        <f t="shared" si="13"/>
        <v>124.76012323943664</v>
      </c>
      <c r="J101" s="20">
        <f t="shared" si="13"/>
        <v>117.32408940397353</v>
      </c>
      <c r="K101" s="21">
        <f t="shared" si="13"/>
        <v>110.72460937500001</v>
      </c>
      <c r="L101" s="1"/>
      <c r="M101" s="37"/>
      <c r="R101" s="37"/>
      <c r="S101" s="37"/>
      <c r="T101" s="37"/>
      <c r="U101" s="37"/>
      <c r="V101" s="37"/>
    </row>
    <row r="102" spans="1:22" ht="15.75" customHeight="1" x14ac:dyDescent="0.25">
      <c r="A102" s="1"/>
      <c r="B102" s="1"/>
      <c r="C102" s="1"/>
      <c r="D102" s="1"/>
      <c r="E102" s="1"/>
      <c r="F102" s="1"/>
      <c r="G102" s="1"/>
      <c r="H102" s="1"/>
      <c r="I102" s="1"/>
      <c r="J102" s="1"/>
      <c r="K102" s="1"/>
      <c r="L102" s="1"/>
      <c r="M102" s="37"/>
      <c r="R102" s="37"/>
      <c r="S102" s="37"/>
      <c r="T102" s="37"/>
      <c r="U102" s="37"/>
      <c r="V102" s="37"/>
    </row>
    <row r="103" spans="1:22" ht="15.75" customHeight="1" thickBot="1" x14ac:dyDescent="0.3">
      <c r="A103" s="1"/>
      <c r="B103" s="1"/>
      <c r="C103" s="1"/>
      <c r="D103" s="1"/>
      <c r="E103" s="1"/>
      <c r="F103" s="1"/>
      <c r="G103" s="1"/>
      <c r="H103" s="1"/>
      <c r="I103" s="1" t="s">
        <v>189</v>
      </c>
      <c r="K103" s="73">
        <f>SUM(N64*12+O64)</f>
        <v>170</v>
      </c>
      <c r="L103" s="1" t="s">
        <v>190</v>
      </c>
      <c r="M103" s="37"/>
      <c r="N103" s="95"/>
      <c r="O103" s="95"/>
      <c r="P103" s="95"/>
      <c r="Q103" s="37"/>
      <c r="R103" s="37"/>
      <c r="S103" s="37"/>
      <c r="T103" s="37"/>
      <c r="U103" s="37"/>
      <c r="V103" s="37"/>
    </row>
    <row r="104" spans="1:22" ht="15.75" customHeight="1" thickBot="1" x14ac:dyDescent="0.3">
      <c r="A104" s="1"/>
      <c r="B104" s="52" t="s">
        <v>199</v>
      </c>
      <c r="C104" s="229" t="s">
        <v>196</v>
      </c>
      <c r="D104" s="229"/>
      <c r="E104" s="229"/>
      <c r="F104" s="229"/>
      <c r="G104" s="229"/>
      <c r="H104" s="229"/>
      <c r="I104" s="229"/>
      <c r="J104" s="229"/>
      <c r="K104" s="229"/>
      <c r="L104" s="1"/>
      <c r="M104" s="37"/>
      <c r="N104" s="315" t="s">
        <v>194</v>
      </c>
      <c r="O104" s="316"/>
      <c r="P104" s="317"/>
      <c r="Q104" s="37"/>
      <c r="R104" s="37"/>
      <c r="S104" s="37"/>
      <c r="T104" s="37"/>
      <c r="U104" s="37"/>
      <c r="V104" s="37"/>
    </row>
    <row r="105" spans="1:22" ht="15.75" customHeight="1" thickBot="1" x14ac:dyDescent="0.3">
      <c r="A105" s="1"/>
      <c r="B105" s="306" t="s">
        <v>192</v>
      </c>
      <c r="C105" s="307"/>
      <c r="D105" s="307"/>
      <c r="E105" s="307"/>
      <c r="F105" s="307"/>
      <c r="G105" s="307"/>
      <c r="H105" s="307"/>
      <c r="I105" s="307"/>
      <c r="J105" s="307"/>
      <c r="K105" s="308"/>
      <c r="L105" s="1"/>
      <c r="M105" s="37"/>
      <c r="N105" s="282">
        <f>N24</f>
        <v>117.33333333333331</v>
      </c>
      <c r="O105" s="283"/>
      <c r="P105" s="284"/>
      <c r="Q105" s="98">
        <f>MATCH(N105,C107:G107,0)</f>
        <v>1</v>
      </c>
      <c r="R105" s="37"/>
      <c r="S105" s="37"/>
      <c r="T105" s="37"/>
      <c r="U105" s="37"/>
      <c r="V105" s="37"/>
    </row>
    <row r="106" spans="1:22" ht="15.75" customHeight="1" x14ac:dyDescent="0.25">
      <c r="A106" s="1"/>
      <c r="B106" s="51" t="s">
        <v>169</v>
      </c>
      <c r="C106" s="298" t="s">
        <v>193</v>
      </c>
      <c r="D106" s="298"/>
      <c r="E106" s="298"/>
      <c r="F106" s="298"/>
      <c r="G106" s="298"/>
      <c r="H106" s="298"/>
      <c r="I106" s="298"/>
      <c r="J106" s="298"/>
      <c r="K106" s="299"/>
      <c r="L106" s="1"/>
      <c r="M106" s="37"/>
      <c r="N106" s="269" t="s">
        <v>173</v>
      </c>
      <c r="O106" s="270"/>
      <c r="P106" s="271"/>
      <c r="Q106" s="96"/>
      <c r="R106" s="37"/>
      <c r="S106" s="37"/>
      <c r="T106" s="37"/>
      <c r="U106" s="37"/>
      <c r="V106" s="37"/>
    </row>
    <row r="107" spans="1:22" ht="15.75" customHeight="1" thickBot="1" x14ac:dyDescent="0.3">
      <c r="A107" s="1"/>
      <c r="B107" s="27" t="s">
        <v>171</v>
      </c>
      <c r="C107" s="103">
        <f>N105</f>
        <v>117.33333333333331</v>
      </c>
      <c r="D107" s="103">
        <f>(+C107+6)</f>
        <v>123.33333333333331</v>
      </c>
      <c r="E107" s="103">
        <f t="shared" ref="E107:K107" si="14">(+D107+6)</f>
        <v>129.33333333333331</v>
      </c>
      <c r="F107" s="103">
        <f t="shared" si="14"/>
        <v>135.33333333333331</v>
      </c>
      <c r="G107" s="103">
        <f t="shared" si="14"/>
        <v>141.33333333333331</v>
      </c>
      <c r="H107" s="103">
        <f t="shared" si="14"/>
        <v>147.33333333333331</v>
      </c>
      <c r="I107" s="103">
        <f t="shared" si="14"/>
        <v>153.33333333333331</v>
      </c>
      <c r="J107" s="103">
        <f t="shared" si="14"/>
        <v>159.33333333333331</v>
      </c>
      <c r="K107" s="103">
        <f t="shared" si="14"/>
        <v>165.33333333333331</v>
      </c>
      <c r="L107" s="1"/>
      <c r="M107" s="37"/>
      <c r="N107" s="282">
        <f>N82</f>
        <v>22</v>
      </c>
      <c r="O107" s="283"/>
      <c r="P107" s="284"/>
      <c r="Q107" s="97">
        <f>MATCH(N107,C107:C141,1)</f>
        <v>10</v>
      </c>
      <c r="R107" s="37"/>
      <c r="S107" s="37"/>
      <c r="T107" s="37"/>
      <c r="U107" s="37"/>
      <c r="V107" s="37"/>
    </row>
    <row r="108" spans="1:22" ht="15.75" customHeight="1" thickBot="1" x14ac:dyDescent="0.3">
      <c r="A108" s="1"/>
      <c r="B108" s="32">
        <f t="shared" ref="B108:B139" si="15">+B109+6</f>
        <v>300</v>
      </c>
      <c r="C108" s="14">
        <f>ROUNDUP(+MIN((15000*8*$J$6*IF('Span Table '!$T$5="Yes",2,1)*144)/(C$107*$B108*$K$103),(($B108/120)*48*144*10000000*$J$4*IF('Span Table '!$T$5="Yes",2,1)*2)/(C$107*$B108^3*$K$103)),0)</f>
        <v>19</v>
      </c>
      <c r="D108" s="14">
        <f>ROUNDUP(+MIN((15000*8*$J$6*IF('Span Table '!$T$5="Yes",2,1)*144)/(D$107*$B108*$K$103),(($B108/120)*48*144*10000000*$J$4*IF('Span Table '!$T$5="Yes",2,1)*2)/(D$107*$B108^3*$K$103)),0)</f>
        <v>18</v>
      </c>
      <c r="E108" s="14">
        <f>ROUNDUP(+MIN((15000*8*$J$6*IF('Span Table '!$T$5="Yes",2,1)*144)/(E$107*$B108*$K$103),(($B108/120)*48*144*10000000*$J$4*IF('Span Table '!$T$5="Yes",2,1)*2)/(E$107*$B108^3*$K$103)),0)</f>
        <v>17</v>
      </c>
      <c r="F108" s="14">
        <f>ROUNDUP(+MIN((15000*8*$J$6*IF('Span Table '!$T$5="Yes",2,1)*144)/(F$107*$B108*$K$103),(($B108/120)*48*144*10000000*$J$4*IF('Span Table '!$T$5="Yes",2,1)*2)/(F$107*$B108^3*$K$103)),0)</f>
        <v>16</v>
      </c>
      <c r="G108" s="14">
        <f>ROUNDUP(+MIN((15000*8*$J$6*IF('Span Table '!$T$5="Yes",2,1)*144)/(G$107*$B108*$K$103),(($B108/120)*48*144*10000000*$J$4*IF('Span Table '!$T$5="Yes",2,1)*2)/(G$107*$B108^3*$K$103)),0)</f>
        <v>16</v>
      </c>
      <c r="H108" s="14">
        <f>ROUNDUP(+MIN((15000*8*$J$6*IF('Span Table '!$T$5="Yes",2,1)*144)/(H$107*$B108*$K$103),(($B108/120)*48*144*10000000*$J$4*IF('Span Table '!$T$5="Yes",2,1)*2)/(H$107*$B108^3*$K$103)),0)</f>
        <v>15</v>
      </c>
      <c r="I108" s="14">
        <f>ROUNDUP(+MIN((15000*8*$J$6*IF('Span Table '!$T$5="Yes",2,1)*144)/(I$107*$B108*$K$103),(($B108/120)*48*144*10000000*$J$4*IF('Span Table '!$T$5="Yes",2,1)*2)/(I$107*$B108^3*$K$103)),0)</f>
        <v>14</v>
      </c>
      <c r="J108" s="14">
        <f>ROUNDUP(+MIN((15000*8*$J$6*IF('Span Table '!$T$5="Yes",2,1)*144)/(J$107*$B108*$K$103),(($B108/120)*48*144*10000000*$J$4*IF('Span Table '!$T$5="Yes",2,1)*2)/(J$107*$B108^3*$K$103)),0)</f>
        <v>14</v>
      </c>
      <c r="K108" s="16">
        <f>+MIN((15000*8*$J$6*144)/(K$107*$B108*$K$103),(($B108/120)*48*144*10000000*$J$4*2)/(K$107*$B108^3*$K$103))</f>
        <v>12.908766603415563</v>
      </c>
      <c r="L108" s="1"/>
      <c r="M108" s="37"/>
      <c r="N108" s="269" t="s">
        <v>174</v>
      </c>
      <c r="O108" s="270"/>
      <c r="P108" s="271"/>
      <c r="Q108" s="125"/>
      <c r="R108" s="101"/>
      <c r="S108" s="37"/>
      <c r="T108" s="37"/>
      <c r="U108" s="37"/>
      <c r="V108" s="37"/>
    </row>
    <row r="109" spans="1:22" ht="15.75" customHeight="1" thickBot="1" x14ac:dyDescent="0.3">
      <c r="A109" s="1"/>
      <c r="B109" s="32">
        <f t="shared" si="15"/>
        <v>294</v>
      </c>
      <c r="C109" s="14">
        <f>ROUNDUP(+MIN((15000*8*$J$6*IF('Span Table '!$T$5="Yes",2,1)*144)/(C$107*$B109*$K$103),(($B109/120)*48*144*10000000*$J$4*IF('Span Table '!$T$5="Yes",2,1)*2)/(C$107*$B109^3*$K$103)),0)</f>
        <v>19</v>
      </c>
      <c r="D109" s="14">
        <f>ROUNDUP(+MIN((15000*8*$J$6*IF('Span Table '!$T$5="Yes",2,1)*144)/(D$107*$B109*$K$103),(($B109/120)*48*144*10000000*$J$4*IF('Span Table '!$T$5="Yes",2,1)*2)/(D$107*$B109^3*$K$103)),0)</f>
        <v>18</v>
      </c>
      <c r="E109" s="14">
        <f>ROUNDUP(+MIN((15000*8*$J$6*IF('Span Table '!$T$5="Yes",2,1)*144)/(E$107*$B109*$K$103),(($B109/120)*48*144*10000000*$J$4*IF('Span Table '!$T$5="Yes",2,1)*2)/(E$107*$B109^3*$K$103)),0)</f>
        <v>17</v>
      </c>
      <c r="F109" s="14">
        <f>ROUNDUP(+MIN((15000*8*$J$6*IF('Span Table '!$T$5="Yes",2,1)*144)/(F$107*$B109*$K$103),(($B109/120)*48*144*10000000*$J$4*IF('Span Table '!$T$5="Yes",2,1)*2)/(F$107*$B109^3*$K$103)),0)</f>
        <v>17</v>
      </c>
      <c r="G109" s="14">
        <f>ROUNDUP(+MIN((15000*8*$J$6*IF('Span Table '!$T$5="Yes",2,1)*144)/(G$107*$B109*$K$103),(($B109/120)*48*144*10000000*$J$4*IF('Span Table '!$T$5="Yes",2,1)*2)/(G$107*$B109^3*$K$103)),0)</f>
        <v>16</v>
      </c>
      <c r="H109" s="14">
        <f>ROUNDUP(+MIN((15000*8*$J$6*IF('Span Table '!$T$5="Yes",2,1)*144)/(H$107*$B109*$K$103),(($B109/120)*48*144*10000000*$J$4*IF('Span Table '!$T$5="Yes",2,1)*2)/(H$107*$B109^3*$K$103)),0)</f>
        <v>15</v>
      </c>
      <c r="I109" s="14">
        <f>ROUNDUP(+MIN((15000*8*$J$6*IF('Span Table '!$T$5="Yes",2,1)*144)/(I$107*$B109*$K$103),(($B109/120)*48*144*10000000*$J$4*IF('Span Table '!$T$5="Yes",2,1)*2)/(I$107*$B109^3*$K$103)),0)</f>
        <v>15</v>
      </c>
      <c r="J109" s="14">
        <f>ROUNDUP(+MIN((15000*8*$J$6*IF('Span Table '!$T$5="Yes",2,1)*144)/(J$107*$B109*$K$103),(($B109/120)*48*144*10000000*$J$4*IF('Span Table '!$T$5="Yes",2,1)*2)/(J$107*$B109^3*$K$103)),0)</f>
        <v>14</v>
      </c>
      <c r="K109" s="18">
        <f t="shared" ref="K109:K123" si="16">+MIN((15000*8*$J$6*144)/(K$107*$B109*$K$103),(($B109/120)*48*144*10000000*$J$4*2)/(K$107*$B109^3*$K$103))</f>
        <v>13.172210819811797</v>
      </c>
      <c r="L109" s="1"/>
      <c r="M109" s="37"/>
      <c r="N109" s="272">
        <f>IF(N107&lt;C108,B108,INDEX(B108:B142,MATCH(N107,C108:C142,1),1))</f>
        <v>252</v>
      </c>
      <c r="O109" s="273"/>
      <c r="P109" s="274"/>
      <c r="R109" s="37"/>
      <c r="S109" s="37"/>
      <c r="T109" s="37"/>
      <c r="U109" s="37"/>
      <c r="V109" s="37"/>
    </row>
    <row r="110" spans="1:22" ht="15.75" customHeight="1" thickBot="1" x14ac:dyDescent="0.3">
      <c r="A110" s="1"/>
      <c r="B110" s="32">
        <f t="shared" si="15"/>
        <v>288</v>
      </c>
      <c r="C110" s="14">
        <f>ROUNDUP(+MIN((15000*8*$J$6*IF('Span Table '!$T$5="Yes",2,1)*144)/(C$107*$B110*$K$103),(($B110/120)*48*144*10000000*$J$4*IF('Span Table '!$T$5="Yes",2,1)*2)/(C$107*$B110^3*$K$103)),0)</f>
        <v>19</v>
      </c>
      <c r="D110" s="14">
        <f>ROUNDUP(+MIN((15000*8*$J$6*IF('Span Table '!$T$5="Yes",2,1)*144)/(D$107*$B110*$K$103),(($B110/120)*48*144*10000000*$J$4*IF('Span Table '!$T$5="Yes",2,1)*2)/(D$107*$B110^3*$K$103)),0)</f>
        <v>19</v>
      </c>
      <c r="E110" s="14">
        <f>ROUNDUP(+MIN((15000*8*$J$6*IF('Span Table '!$T$5="Yes",2,1)*144)/(E$107*$B110*$K$103),(($B110/120)*48*144*10000000*$J$4*IF('Span Table '!$T$5="Yes",2,1)*2)/(E$107*$B110^3*$K$103)),0)</f>
        <v>18</v>
      </c>
      <c r="F110" s="14">
        <f>ROUNDUP(+MIN((15000*8*$J$6*IF('Span Table '!$T$5="Yes",2,1)*144)/(F$107*$B110*$K$103),(($B110/120)*48*144*10000000*$J$4*IF('Span Table '!$T$5="Yes",2,1)*2)/(F$107*$B110^3*$K$103)),0)</f>
        <v>17</v>
      </c>
      <c r="G110" s="14">
        <f>ROUNDUP(+MIN((15000*8*$J$6*IF('Span Table '!$T$5="Yes",2,1)*144)/(G$107*$B110*$K$103),(($B110/120)*48*144*10000000*$J$4*IF('Span Table '!$T$5="Yes",2,1)*2)/(G$107*$B110^3*$K$103)),0)</f>
        <v>16</v>
      </c>
      <c r="H110" s="14">
        <f>ROUNDUP(+MIN((15000*8*$J$6*IF('Span Table '!$T$5="Yes",2,1)*144)/(H$107*$B110*$K$103),(($B110/120)*48*144*10000000*$J$4*IF('Span Table '!$T$5="Yes",2,1)*2)/(H$107*$B110^3*$K$103)),0)</f>
        <v>16</v>
      </c>
      <c r="I110" s="14">
        <f>ROUNDUP(+MIN((15000*8*$J$6*IF('Span Table '!$T$5="Yes",2,1)*144)/(I$107*$B110*$K$103),(($B110/120)*48*144*10000000*$J$4*IF('Span Table '!$T$5="Yes",2,1)*2)/(I$107*$B110^3*$K$103)),0)</f>
        <v>15</v>
      </c>
      <c r="J110" s="14">
        <f>ROUNDUP(+MIN((15000*8*$J$6*IF('Span Table '!$T$5="Yes",2,1)*144)/(J$107*$B110*$K$103),(($B110/120)*48*144*10000000*$J$4*IF('Span Table '!$T$5="Yes",2,1)*2)/(J$107*$B110^3*$K$103)),0)</f>
        <v>14</v>
      </c>
      <c r="K110" s="18">
        <f t="shared" si="16"/>
        <v>13.446631878557877</v>
      </c>
      <c r="L110" s="1"/>
      <c r="M110" s="37"/>
      <c r="N110" s="275"/>
      <c r="O110" s="275"/>
      <c r="P110" s="275"/>
      <c r="Q110" s="120"/>
      <c r="R110" s="37"/>
      <c r="S110" s="37"/>
      <c r="T110" s="37"/>
      <c r="U110" s="37"/>
      <c r="V110" s="37"/>
    </row>
    <row r="111" spans="1:22" ht="15.75" customHeight="1" thickBot="1" x14ac:dyDescent="0.3">
      <c r="A111" s="1"/>
      <c r="B111" s="32">
        <f t="shared" si="15"/>
        <v>282</v>
      </c>
      <c r="C111" s="14">
        <f>ROUNDUP(+MIN((15000*8*$J$6*IF('Span Table '!$T$5="Yes",2,1)*144)/(C$107*$B111*$K$103),(($B111/120)*48*144*10000000*$J$4*IF('Span Table '!$T$5="Yes",2,1)*2)/(C$107*$B111^3*$K$103)),0)</f>
        <v>20</v>
      </c>
      <c r="D111" s="14">
        <f>ROUNDUP(+MIN((15000*8*$J$6*IF('Span Table '!$T$5="Yes",2,1)*144)/(D$107*$B111*$K$103),(($B111/120)*48*144*10000000*$J$4*IF('Span Table '!$T$5="Yes",2,1)*2)/(D$107*$B111^3*$K$103)),0)</f>
        <v>19</v>
      </c>
      <c r="E111" s="14">
        <f>ROUNDUP(+MIN((15000*8*$J$6*IF('Span Table '!$T$5="Yes",2,1)*144)/(E$107*$B111*$K$103),(($B111/120)*48*144*10000000*$J$4*IF('Span Table '!$T$5="Yes",2,1)*2)/(E$107*$B111^3*$K$103)),0)</f>
        <v>18</v>
      </c>
      <c r="F111" s="14">
        <f>ROUNDUP(+MIN((15000*8*$J$6*IF('Span Table '!$T$5="Yes",2,1)*144)/(F$107*$B111*$K$103),(($B111/120)*48*144*10000000*$J$4*IF('Span Table '!$T$5="Yes",2,1)*2)/(F$107*$B111^3*$K$103)),0)</f>
        <v>17</v>
      </c>
      <c r="G111" s="14">
        <f>ROUNDUP(+MIN((15000*8*$J$6*IF('Span Table '!$T$5="Yes",2,1)*144)/(G$107*$B111*$K$103),(($B111/120)*48*144*10000000*$J$4*IF('Span Table '!$T$5="Yes",2,1)*2)/(G$107*$B111^3*$K$103)),0)</f>
        <v>17</v>
      </c>
      <c r="H111" s="14">
        <f>ROUNDUP(+MIN((15000*8*$J$6*IF('Span Table '!$T$5="Yes",2,1)*144)/(H$107*$B111*$K$103),(($B111/120)*48*144*10000000*$J$4*IF('Span Table '!$T$5="Yes",2,1)*2)/(H$107*$B111^3*$K$103)),0)</f>
        <v>16</v>
      </c>
      <c r="I111" s="14">
        <f>ROUNDUP(+MIN((15000*8*$J$6*IF('Span Table '!$T$5="Yes",2,1)*144)/(I$107*$B111*$K$103),(($B111/120)*48*144*10000000*$J$4*IF('Span Table '!$T$5="Yes",2,1)*2)/(I$107*$B111^3*$K$103)),0)</f>
        <v>15</v>
      </c>
      <c r="J111" s="14">
        <f>ROUNDUP(+MIN((15000*8*$J$6*IF('Span Table '!$T$5="Yes",2,1)*144)/(J$107*$B111*$K$103),(($B111/120)*48*144*10000000*$J$4*IF('Span Table '!$T$5="Yes",2,1)*2)/(J$107*$B111^3*$K$103)),0)</f>
        <v>15</v>
      </c>
      <c r="K111" s="18">
        <f t="shared" si="16"/>
        <v>13.732730429165491</v>
      </c>
      <c r="L111" s="1"/>
      <c r="M111" s="37"/>
      <c r="N111" s="37"/>
      <c r="O111" s="37"/>
    </row>
    <row r="112" spans="1:22" ht="15.75" customHeight="1" thickBot="1" x14ac:dyDescent="0.3">
      <c r="A112" s="1"/>
      <c r="B112" s="32">
        <f t="shared" si="15"/>
        <v>276</v>
      </c>
      <c r="C112" s="14">
        <f>ROUNDUP(+MIN((15000*8*$J$6*IF('Span Table '!$T$5="Yes",2,1)*144)/(C$107*$B112*$K$103),(($B112/120)*48*144*10000000*$J$4*IF('Span Table '!$T$5="Yes",2,1)*2)/(C$107*$B112^3*$K$103)),0)</f>
        <v>20</v>
      </c>
      <c r="D112" s="14">
        <f>ROUNDUP(+MIN((15000*8*$J$6*IF('Span Table '!$T$5="Yes",2,1)*144)/(D$107*$B112*$K$103),(($B112/120)*48*144*10000000*$J$4*IF('Span Table '!$T$5="Yes",2,1)*2)/(D$107*$B112^3*$K$103)),0)</f>
        <v>19</v>
      </c>
      <c r="E112" s="14">
        <f>ROUNDUP(+MIN((15000*8*$J$6*IF('Span Table '!$T$5="Yes",2,1)*144)/(E$107*$B112*$K$103),(($B112/120)*48*144*10000000*$J$4*IF('Span Table '!$T$5="Yes",2,1)*2)/(E$107*$B112^3*$K$103)),0)</f>
        <v>18</v>
      </c>
      <c r="F112" s="14">
        <f>ROUNDUP(+MIN((15000*8*$J$6*IF('Span Table '!$T$5="Yes",2,1)*144)/(F$107*$B112*$K$103),(($B112/120)*48*144*10000000*$J$4*IF('Span Table '!$T$5="Yes",2,1)*2)/(F$107*$B112^3*$K$103)),0)</f>
        <v>18</v>
      </c>
      <c r="G112" s="14">
        <f>ROUNDUP(+MIN((15000*8*$J$6*IF('Span Table '!$T$5="Yes",2,1)*144)/(G$107*$B112*$K$103),(($B112/120)*48*144*10000000*$J$4*IF('Span Table '!$T$5="Yes",2,1)*2)/(G$107*$B112^3*$K$103)),0)</f>
        <v>17</v>
      </c>
      <c r="H112" s="14">
        <f>ROUNDUP(+MIN((15000*8*$J$6*IF('Span Table '!$T$5="Yes",2,1)*144)/(H$107*$B112*$K$103),(($B112/120)*48*144*10000000*$J$4*IF('Span Table '!$T$5="Yes",2,1)*2)/(H$107*$B112^3*$K$103)),0)</f>
        <v>16</v>
      </c>
      <c r="I112" s="14">
        <f>ROUNDUP(+MIN((15000*8*$J$6*IF('Span Table '!$T$5="Yes",2,1)*144)/(I$107*$B112*$K$103),(($B112/120)*48*144*10000000*$J$4*IF('Span Table '!$T$5="Yes",2,1)*2)/(I$107*$B112^3*$K$103)),0)</f>
        <v>16</v>
      </c>
      <c r="J112" s="14">
        <f>ROUNDUP(+MIN((15000*8*$J$6*IF('Span Table '!$T$5="Yes",2,1)*144)/(J$107*$B112*$K$103),(($B112/120)*48*144*10000000*$J$4*IF('Span Table '!$T$5="Yes",2,1)*2)/(J$107*$B112^3*$K$103)),0)</f>
        <v>15</v>
      </c>
      <c r="K112" s="18">
        <f t="shared" si="16"/>
        <v>14.031268047190828</v>
      </c>
      <c r="L112" s="1"/>
      <c r="M112" s="37"/>
      <c r="N112" s="37"/>
      <c r="O112" s="37"/>
    </row>
    <row r="113" spans="1:15" ht="15.75" customHeight="1" thickBot="1" x14ac:dyDescent="0.3">
      <c r="A113" s="1"/>
      <c r="B113" s="32">
        <f t="shared" si="15"/>
        <v>270</v>
      </c>
      <c r="C113" s="14">
        <f>ROUNDUP(+MIN((15000*8*$J$6*IF('Span Table '!$T$5="Yes",2,1)*144)/(C$107*$B113*$K$103),(($B113/120)*48*144*10000000*$J$4*IF('Span Table '!$T$5="Yes",2,1)*2)/(C$107*$B113^3*$K$103)),0)</f>
        <v>21</v>
      </c>
      <c r="D113" s="14">
        <f>ROUNDUP(+MIN((15000*8*$J$6*IF('Span Table '!$T$5="Yes",2,1)*144)/(D$107*$B113*$K$103),(($B113/120)*48*144*10000000*$J$4*IF('Span Table '!$T$5="Yes",2,1)*2)/(D$107*$B113^3*$K$103)),0)</f>
        <v>20</v>
      </c>
      <c r="E113" s="14">
        <f>ROUNDUP(+MIN((15000*8*$J$6*IF('Span Table '!$T$5="Yes",2,1)*144)/(E$107*$B113*$K$103),(($B113/120)*48*144*10000000*$J$4*IF('Span Table '!$T$5="Yes",2,1)*2)/(E$107*$B113^3*$K$103)),0)</f>
        <v>19</v>
      </c>
      <c r="F113" s="14">
        <f>ROUNDUP(+MIN((15000*8*$J$6*IF('Span Table '!$T$5="Yes",2,1)*144)/(F$107*$B113*$K$103),(($B113/120)*48*144*10000000*$J$4*IF('Span Table '!$T$5="Yes",2,1)*2)/(F$107*$B113^3*$K$103)),0)</f>
        <v>18</v>
      </c>
      <c r="G113" s="14">
        <f>ROUNDUP(+MIN((15000*8*$J$6*IF('Span Table '!$T$5="Yes",2,1)*144)/(G$107*$B113*$K$103),(($B113/120)*48*144*10000000*$J$4*IF('Span Table '!$T$5="Yes",2,1)*2)/(G$107*$B113^3*$K$103)),0)</f>
        <v>17</v>
      </c>
      <c r="H113" s="14">
        <f>ROUNDUP(+MIN((15000*8*$J$6*IF('Span Table '!$T$5="Yes",2,1)*144)/(H$107*$B113*$K$103),(($B113/120)*48*144*10000000*$J$4*IF('Span Table '!$T$5="Yes",2,1)*2)/(H$107*$B113^3*$K$103)),0)</f>
        <v>17</v>
      </c>
      <c r="I113" s="14">
        <f>ROUNDUP(+MIN((15000*8*$J$6*IF('Span Table '!$T$5="Yes",2,1)*144)/(I$107*$B113*$K$103),(($B113/120)*48*144*10000000*$J$4*IF('Span Table '!$T$5="Yes",2,1)*2)/(I$107*$B113^3*$K$103)),0)</f>
        <v>16</v>
      </c>
      <c r="J113" s="14">
        <f>ROUNDUP(+MIN((15000*8*$J$6*IF('Span Table '!$T$5="Yes",2,1)*144)/(J$107*$B113*$K$103),(($B113/120)*48*144*10000000*$J$4*IF('Span Table '!$T$5="Yes",2,1)*2)/(J$107*$B113^3*$K$103)),0)</f>
        <v>15</v>
      </c>
      <c r="K113" s="18">
        <f t="shared" si="16"/>
        <v>14.343074003795069</v>
      </c>
      <c r="L113" s="1"/>
      <c r="M113" s="37"/>
      <c r="N113" s="37"/>
      <c r="O113" s="37"/>
    </row>
    <row r="114" spans="1:15" ht="15.75" customHeight="1" thickBot="1" x14ac:dyDescent="0.3">
      <c r="A114" s="1"/>
      <c r="B114" s="32">
        <f t="shared" si="15"/>
        <v>264</v>
      </c>
      <c r="C114" s="14">
        <f>ROUNDUP(+MIN((15000*8*$J$6*IF('Span Table '!$T$5="Yes",2,1)*144)/(C$107*$B114*$K$103),(($B114/120)*48*144*10000000*$J$4*IF('Span Table '!$T$5="Yes",2,1)*2)/(C$107*$B114^3*$K$103)),0)</f>
        <v>21</v>
      </c>
      <c r="D114" s="14">
        <f>ROUNDUP(+MIN((15000*8*$J$6*IF('Span Table '!$T$5="Yes",2,1)*144)/(D$107*$B114*$K$103),(($B114/120)*48*144*10000000*$J$4*IF('Span Table '!$T$5="Yes",2,1)*2)/(D$107*$B114^3*$K$103)),0)</f>
        <v>20</v>
      </c>
      <c r="E114" s="14">
        <f>ROUNDUP(+MIN((15000*8*$J$6*IF('Span Table '!$T$5="Yes",2,1)*144)/(E$107*$B114*$K$103),(($B114/120)*48*144*10000000*$J$4*IF('Span Table '!$T$5="Yes",2,1)*2)/(E$107*$B114^3*$K$103)),0)</f>
        <v>19</v>
      </c>
      <c r="F114" s="14">
        <f>ROUNDUP(+MIN((15000*8*$J$6*IF('Span Table '!$T$5="Yes",2,1)*144)/(F$107*$B114*$K$103),(($B114/120)*48*144*10000000*$J$4*IF('Span Table '!$T$5="Yes",2,1)*2)/(F$107*$B114^3*$K$103)),0)</f>
        <v>18</v>
      </c>
      <c r="G114" s="14">
        <f>ROUNDUP(+MIN((15000*8*$J$6*IF('Span Table '!$T$5="Yes",2,1)*144)/(G$107*$B114*$K$103),(($B114/120)*48*144*10000000*$J$4*IF('Span Table '!$T$5="Yes",2,1)*2)/(G$107*$B114^3*$K$103)),0)</f>
        <v>18</v>
      </c>
      <c r="H114" s="14">
        <f>ROUNDUP(+MIN((15000*8*$J$6*IF('Span Table '!$T$5="Yes",2,1)*144)/(H$107*$B114*$K$103),(($B114/120)*48*144*10000000*$J$4*IF('Span Table '!$T$5="Yes",2,1)*2)/(H$107*$B114^3*$K$103)),0)</f>
        <v>17</v>
      </c>
      <c r="I114" s="14">
        <f>ROUNDUP(+MIN((15000*8*$J$6*IF('Span Table '!$T$5="Yes",2,1)*144)/(I$107*$B114*$K$103),(($B114/120)*48*144*10000000*$J$4*IF('Span Table '!$T$5="Yes",2,1)*2)/(I$107*$B114^3*$K$103)),0)</f>
        <v>16</v>
      </c>
      <c r="J114" s="14">
        <f>ROUNDUP(+MIN((15000*8*$J$6*IF('Span Table '!$T$5="Yes",2,1)*144)/(J$107*$B114*$K$103),(($B114/120)*48*144*10000000*$J$4*IF('Span Table '!$T$5="Yes",2,1)*2)/(J$107*$B114^3*$K$103)),0)</f>
        <v>16</v>
      </c>
      <c r="K114" s="18">
        <f t="shared" si="16"/>
        <v>14.669052958426775</v>
      </c>
      <c r="L114" s="1"/>
      <c r="M114" s="37"/>
      <c r="N114" s="37"/>
      <c r="O114" s="37"/>
    </row>
    <row r="115" spans="1:15" ht="15.75" customHeight="1" thickBot="1" x14ac:dyDescent="0.3">
      <c r="A115" s="1"/>
      <c r="B115" s="32">
        <f t="shared" si="15"/>
        <v>258</v>
      </c>
      <c r="C115" s="14">
        <f>ROUNDUP(+MIN((15000*8*$J$6*IF('Span Table '!$T$5="Yes",2,1)*144)/(C$107*$B115*$K$103),(($B115/120)*48*144*10000000*$J$4*IF('Span Table '!$T$5="Yes",2,1)*2)/(C$107*$B115^3*$K$103)),0)</f>
        <v>22</v>
      </c>
      <c r="D115" s="14">
        <f>ROUNDUP(+MIN((15000*8*$J$6*IF('Span Table '!$T$5="Yes",2,1)*144)/(D$107*$B115*$K$103),(($B115/120)*48*144*10000000*$J$4*IF('Span Table '!$T$5="Yes",2,1)*2)/(D$107*$B115^3*$K$103)),0)</f>
        <v>21</v>
      </c>
      <c r="E115" s="14">
        <f>ROUNDUP(+MIN((15000*8*$J$6*IF('Span Table '!$T$5="Yes",2,1)*144)/(E$107*$B115*$K$103),(($B115/120)*48*144*10000000*$J$4*IF('Span Table '!$T$5="Yes",2,1)*2)/(E$107*$B115^3*$K$103)),0)</f>
        <v>20</v>
      </c>
      <c r="F115" s="14">
        <f>ROUNDUP(+MIN((15000*8*$J$6*IF('Span Table '!$T$5="Yes",2,1)*144)/(F$107*$B115*$K$103),(($B115/120)*48*144*10000000*$J$4*IF('Span Table '!$T$5="Yes",2,1)*2)/(F$107*$B115^3*$K$103)),0)</f>
        <v>19</v>
      </c>
      <c r="G115" s="14">
        <f>ROUNDUP(+MIN((15000*8*$J$6*IF('Span Table '!$T$5="Yes",2,1)*144)/(G$107*$B115*$K$103),(($B115/120)*48*144*10000000*$J$4*IF('Span Table '!$T$5="Yes",2,1)*2)/(G$107*$B115^3*$K$103)),0)</f>
        <v>18</v>
      </c>
      <c r="H115" s="14">
        <f>ROUNDUP(+MIN((15000*8*$J$6*IF('Span Table '!$T$5="Yes",2,1)*144)/(H$107*$B115*$K$103),(($B115/120)*48*144*10000000*$J$4*IF('Span Table '!$T$5="Yes",2,1)*2)/(H$107*$B115^3*$K$103)),0)</f>
        <v>17</v>
      </c>
      <c r="I115" s="14">
        <f>ROUNDUP(+MIN((15000*8*$J$6*IF('Span Table '!$T$5="Yes",2,1)*144)/(I$107*$B115*$K$103),(($B115/120)*48*144*10000000*$J$4*IF('Span Table '!$T$5="Yes",2,1)*2)/(I$107*$B115^3*$K$103)),0)</f>
        <v>17</v>
      </c>
      <c r="J115" s="14">
        <f>ROUNDUP(+MIN((15000*8*$J$6*IF('Span Table '!$T$5="Yes",2,1)*144)/(J$107*$B115*$K$103),(($B115/120)*48*144*10000000*$J$4*IF('Span Table '!$T$5="Yes",2,1)*2)/(J$107*$B115^3*$K$103)),0)</f>
        <v>16</v>
      </c>
      <c r="K115" s="18">
        <f t="shared" si="16"/>
        <v>15.010193724901816</v>
      </c>
      <c r="L115" s="1"/>
      <c r="M115" s="37"/>
      <c r="N115" s="37"/>
      <c r="O115" s="37"/>
    </row>
    <row r="116" spans="1:15" ht="15.75" customHeight="1" thickBot="1" x14ac:dyDescent="0.3">
      <c r="A116" s="1"/>
      <c r="B116" s="32">
        <f t="shared" si="15"/>
        <v>252</v>
      </c>
      <c r="C116" s="14">
        <f>ROUNDUP(+MIN((15000*8*$J$6*IF('Span Table '!$T$5="Yes",2,1)*144)/(C$107*$B116*$K$103),(($B116/120)*48*144*10000000*$J$4*IF('Span Table '!$T$5="Yes",2,1)*2)/(C$107*$B116^3*$K$103)),0)</f>
        <v>22</v>
      </c>
      <c r="D116" s="14">
        <f>ROUNDUP(+MIN((15000*8*$J$6*IF('Span Table '!$T$5="Yes",2,1)*144)/(D$107*$B116*$K$103),(($B116/120)*48*144*10000000*$J$4*IF('Span Table '!$T$5="Yes",2,1)*2)/(D$107*$B116^3*$K$103)),0)</f>
        <v>21</v>
      </c>
      <c r="E116" s="14">
        <f>ROUNDUP(+MIN((15000*8*$J$6*IF('Span Table '!$T$5="Yes",2,1)*144)/(E$107*$B116*$K$103),(($B116/120)*48*144*10000000*$J$4*IF('Span Table '!$T$5="Yes",2,1)*2)/(E$107*$B116^3*$K$103)),0)</f>
        <v>20</v>
      </c>
      <c r="F116" s="14">
        <f>ROUNDUP(+MIN((15000*8*$J$6*IF('Span Table '!$T$5="Yes",2,1)*144)/(F$107*$B116*$K$103),(($B116/120)*48*144*10000000*$J$4*IF('Span Table '!$T$5="Yes",2,1)*2)/(F$107*$B116^3*$K$103)),0)</f>
        <v>19</v>
      </c>
      <c r="G116" s="14">
        <f>ROUNDUP(+MIN((15000*8*$J$6*IF('Span Table '!$T$5="Yes",2,1)*144)/(G$107*$B116*$K$103),(($B116/120)*48*144*10000000*$J$4*IF('Span Table '!$T$5="Yes",2,1)*2)/(G$107*$B116^3*$K$103)),0)</f>
        <v>18</v>
      </c>
      <c r="H116" s="14">
        <f>ROUNDUP(+MIN((15000*8*$J$6*IF('Span Table '!$T$5="Yes",2,1)*144)/(H$107*$B116*$K$103),(($B116/120)*48*144*10000000*$J$4*IF('Span Table '!$T$5="Yes",2,1)*2)/(H$107*$B116^3*$K$103)),0)</f>
        <v>18</v>
      </c>
      <c r="I116" s="14">
        <f>ROUNDUP(+MIN((15000*8*$J$6*IF('Span Table '!$T$5="Yes",2,1)*144)/(I$107*$B116*$K$103),(($B116/120)*48*144*10000000*$J$4*IF('Span Table '!$T$5="Yes",2,1)*2)/(I$107*$B116^3*$K$103)),0)</f>
        <v>17</v>
      </c>
      <c r="J116" s="14">
        <f>ROUNDUP(+MIN((15000*8*$J$6*IF('Span Table '!$T$5="Yes",2,1)*144)/(J$107*$B116*$K$103),(($B116/120)*48*144*10000000*$J$4*IF('Span Table '!$T$5="Yes",2,1)*2)/(J$107*$B116^3*$K$103)),0)</f>
        <v>16</v>
      </c>
      <c r="K116" s="18">
        <f t="shared" si="16"/>
        <v>15.36757928978043</v>
      </c>
      <c r="L116" s="1"/>
      <c r="M116" s="37"/>
      <c r="N116" s="37"/>
      <c r="O116" s="37"/>
    </row>
    <row r="117" spans="1:15" ht="15.75" customHeight="1" thickBot="1" x14ac:dyDescent="0.3">
      <c r="A117" s="1"/>
      <c r="B117" s="32">
        <f t="shared" si="15"/>
        <v>246</v>
      </c>
      <c r="C117" s="14">
        <f>ROUNDUP(+MIN((15000*8*$J$6*IF('Span Table '!$T$5="Yes",2,1)*144)/(C$107*$B117*$K$103),(($B117/120)*48*144*10000000*$J$4*IF('Span Table '!$T$5="Yes",2,1)*2)/(C$107*$B117^3*$K$103)),0)</f>
        <v>23</v>
      </c>
      <c r="D117" s="14">
        <f>ROUNDUP(+MIN((15000*8*$J$6*IF('Span Table '!$T$5="Yes",2,1)*144)/(D$107*$B117*$K$103),(($B117/120)*48*144*10000000*$J$4*IF('Span Table '!$T$5="Yes",2,1)*2)/(D$107*$B117^3*$K$103)),0)</f>
        <v>22</v>
      </c>
      <c r="E117" s="14">
        <f>ROUNDUP(+MIN((15000*8*$J$6*IF('Span Table '!$T$5="Yes",2,1)*144)/(E$107*$B117*$K$103),(($B117/120)*48*144*10000000*$J$4*IF('Span Table '!$T$5="Yes",2,1)*2)/(E$107*$B117^3*$K$103)),0)</f>
        <v>21</v>
      </c>
      <c r="F117" s="14">
        <f>ROUNDUP(+MIN((15000*8*$J$6*IF('Span Table '!$T$5="Yes",2,1)*144)/(F$107*$B117*$K$103),(($B117/120)*48*144*10000000*$J$4*IF('Span Table '!$T$5="Yes",2,1)*2)/(F$107*$B117^3*$K$103)),0)</f>
        <v>20</v>
      </c>
      <c r="G117" s="14">
        <f>ROUNDUP(+MIN((15000*8*$J$6*IF('Span Table '!$T$5="Yes",2,1)*144)/(G$107*$B117*$K$103),(($B117/120)*48*144*10000000*$J$4*IF('Span Table '!$T$5="Yes",2,1)*2)/(G$107*$B117^3*$K$103)),0)</f>
        <v>19</v>
      </c>
      <c r="H117" s="14">
        <f>ROUNDUP(+MIN((15000*8*$J$6*IF('Span Table '!$T$5="Yes",2,1)*144)/(H$107*$B117*$K$103),(($B117/120)*48*144*10000000*$J$4*IF('Span Table '!$T$5="Yes",2,1)*2)/(H$107*$B117^3*$K$103)),0)</f>
        <v>18</v>
      </c>
      <c r="I117" s="14">
        <f>ROUNDUP(+MIN((15000*8*$J$6*IF('Span Table '!$T$5="Yes",2,1)*144)/(I$107*$B117*$K$103),(($B117/120)*48*144*10000000*$J$4*IF('Span Table '!$T$5="Yes",2,1)*2)/(I$107*$B117^3*$K$103)),0)</f>
        <v>17</v>
      </c>
      <c r="J117" s="14">
        <f>ROUNDUP(+MIN((15000*8*$J$6*IF('Span Table '!$T$5="Yes",2,1)*144)/(J$107*$B117*$K$103),(($B117/120)*48*144*10000000*$J$4*IF('Span Table '!$T$5="Yes",2,1)*2)/(J$107*$B117^3*$K$103)),0)</f>
        <v>17</v>
      </c>
      <c r="K117" s="18">
        <f t="shared" si="16"/>
        <v>15.742398296848245</v>
      </c>
      <c r="L117" s="1"/>
      <c r="M117" s="37"/>
      <c r="N117" s="37"/>
      <c r="O117" s="37"/>
    </row>
    <row r="118" spans="1:15" ht="15.75" customHeight="1" thickBot="1" x14ac:dyDescent="0.3">
      <c r="A118" s="1"/>
      <c r="B118" s="32">
        <f t="shared" si="15"/>
        <v>240</v>
      </c>
      <c r="C118" s="14">
        <f>ROUNDUP(+MIN((15000*8*$J$6*IF('Span Table '!$T$5="Yes",2,1)*144)/(C$107*$B118*$K$103),(($B118/120)*48*144*10000000*$J$4*IF('Span Table '!$T$5="Yes",2,1)*2)/(C$107*$B118^3*$K$103)),0)</f>
        <v>23</v>
      </c>
      <c r="D118" s="14">
        <f>ROUNDUP(+MIN((15000*8*$J$6*IF('Span Table '!$T$5="Yes",2,1)*144)/(D$107*$B118*$K$103),(($B118/120)*48*144*10000000*$J$4*IF('Span Table '!$T$5="Yes",2,1)*2)/(D$107*$B118^3*$K$103)),0)</f>
        <v>22</v>
      </c>
      <c r="E118" s="14">
        <f>ROUNDUP(+MIN((15000*8*$J$6*IF('Span Table '!$T$5="Yes",2,1)*144)/(E$107*$B118*$K$103),(($B118/120)*48*144*10000000*$J$4*IF('Span Table '!$T$5="Yes",2,1)*2)/(E$107*$B118^3*$K$103)),0)</f>
        <v>21</v>
      </c>
      <c r="F118" s="14">
        <f>ROUNDUP(+MIN((15000*8*$J$6*IF('Span Table '!$T$5="Yes",2,1)*144)/(F$107*$B118*$K$103),(($B118/120)*48*144*10000000*$J$4*IF('Span Table '!$T$5="Yes",2,1)*2)/(F$107*$B118^3*$K$103)),0)</f>
        <v>20</v>
      </c>
      <c r="G118" s="14">
        <f>ROUNDUP(+MIN((15000*8*$J$6*IF('Span Table '!$T$5="Yes",2,1)*144)/(G$107*$B118*$K$103),(($B118/120)*48*144*10000000*$J$4*IF('Span Table '!$T$5="Yes",2,1)*2)/(G$107*$B118^3*$K$103)),0)</f>
        <v>19</v>
      </c>
      <c r="H118" s="14">
        <f>ROUNDUP(+MIN((15000*8*$J$6*IF('Span Table '!$T$5="Yes",2,1)*144)/(H$107*$B118*$K$103),(($B118/120)*48*144*10000000*$J$4*IF('Span Table '!$T$5="Yes",2,1)*2)/(H$107*$B118^3*$K$103)),0)</f>
        <v>19</v>
      </c>
      <c r="I118" s="14">
        <f>ROUNDUP(+MIN((15000*8*$J$6*IF('Span Table '!$T$5="Yes",2,1)*144)/(I$107*$B118*$K$103),(($B118/120)*48*144*10000000*$J$4*IF('Span Table '!$T$5="Yes",2,1)*2)/(I$107*$B118^3*$K$103)),0)</f>
        <v>18</v>
      </c>
      <c r="J118" s="14">
        <f>ROUNDUP(+MIN((15000*8*$J$6*IF('Span Table '!$T$5="Yes",2,1)*144)/(J$107*$B118*$K$103),(($B118/120)*48*144*10000000*$J$4*IF('Span Table '!$T$5="Yes",2,1)*2)/(J$107*$B118^3*$K$103)),0)</f>
        <v>17</v>
      </c>
      <c r="K118" s="18">
        <f t="shared" si="16"/>
        <v>16.13595825426945</v>
      </c>
      <c r="L118" s="1"/>
      <c r="M118" s="37"/>
      <c r="N118" s="37"/>
      <c r="O118" s="37"/>
    </row>
    <row r="119" spans="1:15" ht="15.75" customHeight="1" thickBot="1" x14ac:dyDescent="0.3">
      <c r="A119" s="1"/>
      <c r="B119" s="32">
        <f t="shared" si="15"/>
        <v>234</v>
      </c>
      <c r="C119" s="14">
        <f>ROUNDUP(+MIN((15000*8*$J$6*IF('Span Table '!$T$5="Yes",2,1)*144)/(C$107*$B119*$K$103),(($B119/120)*48*144*10000000*$J$4*IF('Span Table '!$T$5="Yes",2,1)*2)/(C$107*$B119^3*$K$103)),0)</f>
        <v>24</v>
      </c>
      <c r="D119" s="14">
        <f>ROUNDUP(+MIN((15000*8*$J$6*IF('Span Table '!$T$5="Yes",2,1)*144)/(D$107*$B119*$K$103),(($B119/120)*48*144*10000000*$J$4*IF('Span Table '!$T$5="Yes",2,1)*2)/(D$107*$B119^3*$K$103)),0)</f>
        <v>23</v>
      </c>
      <c r="E119" s="14">
        <f>ROUNDUP(+MIN((15000*8*$J$6*IF('Span Table '!$T$5="Yes",2,1)*144)/(E$107*$B119*$K$103),(($B119/120)*48*144*10000000*$J$4*IF('Span Table '!$T$5="Yes",2,1)*2)/(E$107*$B119^3*$K$103)),0)</f>
        <v>22</v>
      </c>
      <c r="F119" s="14">
        <f>ROUNDUP(+MIN((15000*8*$J$6*IF('Span Table '!$T$5="Yes",2,1)*144)/(F$107*$B119*$K$103),(($B119/120)*48*144*10000000*$J$4*IF('Span Table '!$T$5="Yes",2,1)*2)/(F$107*$B119^3*$K$103)),0)</f>
        <v>21</v>
      </c>
      <c r="G119" s="14">
        <f>ROUNDUP(+MIN((15000*8*$J$6*IF('Span Table '!$T$5="Yes",2,1)*144)/(G$107*$B119*$K$103),(($B119/120)*48*144*10000000*$J$4*IF('Span Table '!$T$5="Yes",2,1)*2)/(G$107*$B119^3*$K$103)),0)</f>
        <v>20</v>
      </c>
      <c r="H119" s="14">
        <f>ROUNDUP(+MIN((15000*8*$J$6*IF('Span Table '!$T$5="Yes",2,1)*144)/(H$107*$B119*$K$103),(($B119/120)*48*144*10000000*$J$4*IF('Span Table '!$T$5="Yes",2,1)*2)/(H$107*$B119^3*$K$103)),0)</f>
        <v>19</v>
      </c>
      <c r="I119" s="14">
        <f>ROUNDUP(+MIN((15000*8*$J$6*IF('Span Table '!$T$5="Yes",2,1)*144)/(I$107*$B119*$K$103),(($B119/120)*48*144*10000000*$J$4*IF('Span Table '!$T$5="Yes",2,1)*2)/(I$107*$B119^3*$K$103)),0)</f>
        <v>18</v>
      </c>
      <c r="J119" s="14">
        <f>ROUNDUP(+MIN((15000*8*$J$6*IF('Span Table '!$T$5="Yes",2,1)*144)/(J$107*$B119*$K$103),(($B119/120)*48*144*10000000*$J$4*IF('Span Table '!$T$5="Yes",2,1)*2)/(J$107*$B119^3*$K$103)),0)</f>
        <v>18</v>
      </c>
      <c r="K119" s="18">
        <f t="shared" si="16"/>
        <v>16.549700773609693</v>
      </c>
      <c r="L119" s="1"/>
      <c r="M119" s="37"/>
      <c r="N119" s="37"/>
      <c r="O119" s="37"/>
    </row>
    <row r="120" spans="1:15" ht="15.75" customHeight="1" thickBot="1" x14ac:dyDescent="0.3">
      <c r="A120" s="1"/>
      <c r="B120" s="32">
        <f t="shared" si="15"/>
        <v>228</v>
      </c>
      <c r="C120" s="14">
        <f>ROUNDUP(+MIN((15000*8*$J$6*IF('Span Table '!$T$5="Yes",2,1)*144)/(C$107*$B120*$K$103),(($B120/120)*48*144*10000000*$J$4*IF('Span Table '!$T$5="Yes",2,1)*2)/(C$107*$B120^3*$K$103)),0)</f>
        <v>24</v>
      </c>
      <c r="D120" s="14">
        <f>ROUNDUP(+MIN((15000*8*$J$6*IF('Span Table '!$T$5="Yes",2,1)*144)/(D$107*$B120*$K$103),(($B120/120)*48*144*10000000*$J$4*IF('Span Table '!$T$5="Yes",2,1)*2)/(D$107*$B120^3*$K$103)),0)</f>
        <v>23</v>
      </c>
      <c r="E120" s="14">
        <f>ROUNDUP(+MIN((15000*8*$J$6*IF('Span Table '!$T$5="Yes",2,1)*144)/(E$107*$B120*$K$103),(($B120/120)*48*144*10000000*$J$4*IF('Span Table '!$T$5="Yes",2,1)*2)/(E$107*$B120^3*$K$103)),0)</f>
        <v>22</v>
      </c>
      <c r="F120" s="14">
        <f>ROUNDUP(+MIN((15000*8*$J$6*IF('Span Table '!$T$5="Yes",2,1)*144)/(F$107*$B120*$K$103),(($B120/120)*48*144*10000000*$J$4*IF('Span Table '!$T$5="Yes",2,1)*2)/(F$107*$B120^3*$K$103)),0)</f>
        <v>21</v>
      </c>
      <c r="G120" s="14">
        <f>ROUNDUP(+MIN((15000*8*$J$6*IF('Span Table '!$T$5="Yes",2,1)*144)/(G$107*$B120*$K$103),(($B120/120)*48*144*10000000*$J$4*IF('Span Table '!$T$5="Yes",2,1)*2)/(G$107*$B120^3*$K$103)),0)</f>
        <v>20</v>
      </c>
      <c r="H120" s="14">
        <f>ROUNDUP(+MIN((15000*8*$J$6*IF('Span Table '!$T$5="Yes",2,1)*144)/(H$107*$B120*$K$103),(($B120/120)*48*144*10000000*$J$4*IF('Span Table '!$T$5="Yes",2,1)*2)/(H$107*$B120^3*$K$103)),0)</f>
        <v>20</v>
      </c>
      <c r="I120" s="14">
        <f>ROUNDUP(+MIN((15000*8*$J$6*IF('Span Table '!$T$5="Yes",2,1)*144)/(I$107*$B120*$K$103),(($B120/120)*48*144*10000000*$J$4*IF('Span Table '!$T$5="Yes",2,1)*2)/(I$107*$B120^3*$K$103)),0)</f>
        <v>19</v>
      </c>
      <c r="J120" s="14">
        <f>ROUNDUP(+MIN((15000*8*$J$6*IF('Span Table '!$T$5="Yes",2,1)*144)/(J$107*$B120*$K$103),(($B120/120)*48*144*10000000*$J$4*IF('Span Table '!$T$5="Yes",2,1)*2)/(J$107*$B120^3*$K$103)),0)</f>
        <v>18</v>
      </c>
      <c r="K120" s="18">
        <f t="shared" si="16"/>
        <v>16.985219215020475</v>
      </c>
      <c r="L120" s="1"/>
      <c r="M120" s="37"/>
      <c r="N120" s="37"/>
      <c r="O120" s="37"/>
    </row>
    <row r="121" spans="1:15" ht="15.75" customHeight="1" thickBot="1" x14ac:dyDescent="0.3">
      <c r="A121" s="1"/>
      <c r="B121" s="32">
        <f t="shared" si="15"/>
        <v>222</v>
      </c>
      <c r="C121" s="14">
        <f>ROUNDUP(+MIN((15000*8*$J$6*IF('Span Table '!$T$5="Yes",2,1)*144)/(C$107*$B121*$K$103),(($B121/120)*48*144*10000000*$J$4*IF('Span Table '!$T$5="Yes",2,1)*2)/(C$107*$B121^3*$K$103)),0)</f>
        <v>25</v>
      </c>
      <c r="D121" s="14">
        <f>ROUNDUP(+MIN((15000*8*$J$6*IF('Span Table '!$T$5="Yes",2,1)*144)/(D$107*$B121*$K$103),(($B121/120)*48*144*10000000*$J$4*IF('Span Table '!$T$5="Yes",2,1)*2)/(D$107*$B121^3*$K$103)),0)</f>
        <v>24</v>
      </c>
      <c r="E121" s="14">
        <f>ROUNDUP(+MIN((15000*8*$J$6*IF('Span Table '!$T$5="Yes",2,1)*144)/(E$107*$B121*$K$103),(($B121/120)*48*144*10000000*$J$4*IF('Span Table '!$T$5="Yes",2,1)*2)/(E$107*$B121^3*$K$103)),0)</f>
        <v>23</v>
      </c>
      <c r="F121" s="14">
        <f>ROUNDUP(+MIN((15000*8*$J$6*IF('Span Table '!$T$5="Yes",2,1)*144)/(F$107*$B121*$K$103),(($B121/120)*48*144*10000000*$J$4*IF('Span Table '!$T$5="Yes",2,1)*2)/(F$107*$B121^3*$K$103)),0)</f>
        <v>22</v>
      </c>
      <c r="G121" s="14">
        <f>ROUNDUP(+MIN((15000*8*$J$6*IF('Span Table '!$T$5="Yes",2,1)*144)/(G$107*$B121*$K$103),(($B121/120)*48*144*10000000*$J$4*IF('Span Table '!$T$5="Yes",2,1)*2)/(G$107*$B121^3*$K$103)),0)</f>
        <v>21</v>
      </c>
      <c r="H121" s="14">
        <f>ROUNDUP(+MIN((15000*8*$J$6*IF('Span Table '!$T$5="Yes",2,1)*144)/(H$107*$B121*$K$103),(($B121/120)*48*144*10000000*$J$4*IF('Span Table '!$T$5="Yes",2,1)*2)/(H$107*$B121^3*$K$103)),0)</f>
        <v>20</v>
      </c>
      <c r="I121" s="14">
        <f>ROUNDUP(+MIN((15000*8*$J$6*IF('Span Table '!$T$5="Yes",2,1)*144)/(I$107*$B121*$K$103),(($B121/120)*48*144*10000000*$J$4*IF('Span Table '!$T$5="Yes",2,1)*2)/(I$107*$B121^3*$K$103)),0)</f>
        <v>19</v>
      </c>
      <c r="J121" s="14">
        <f>ROUNDUP(+MIN((15000*8*$J$6*IF('Span Table '!$T$5="Yes",2,1)*144)/(J$107*$B121*$K$103),(($B121/120)*48*144*10000000*$J$4*IF('Span Table '!$T$5="Yes",2,1)*2)/(J$107*$B121^3*$K$103)),0)</f>
        <v>19</v>
      </c>
      <c r="K121" s="18">
        <f t="shared" si="16"/>
        <v>17.444279193804814</v>
      </c>
      <c r="L121" s="1"/>
      <c r="M121" s="37"/>
      <c r="N121" s="37"/>
      <c r="O121" s="37"/>
    </row>
    <row r="122" spans="1:15" ht="15.75" customHeight="1" thickBot="1" x14ac:dyDescent="0.3">
      <c r="A122" s="1"/>
      <c r="B122" s="32">
        <f t="shared" si="15"/>
        <v>216</v>
      </c>
      <c r="C122" s="14">
        <f>ROUNDUP(+MIN((15000*8*$J$6*IF('Span Table '!$T$5="Yes",2,1)*144)/(C$107*$B122*$K$103),(($B122/120)*48*144*10000000*$J$4*IF('Span Table '!$T$5="Yes",2,1)*2)/(C$107*$B122^3*$K$103)),0)</f>
        <v>26</v>
      </c>
      <c r="D122" s="14">
        <f>ROUNDUP(+MIN((15000*8*$J$6*IF('Span Table '!$T$5="Yes",2,1)*144)/(D$107*$B122*$K$103),(($B122/120)*48*144*10000000*$J$4*IF('Span Table '!$T$5="Yes",2,1)*2)/(D$107*$B122^3*$K$103)),0)</f>
        <v>25</v>
      </c>
      <c r="E122" s="14">
        <f>ROUNDUP(+MIN((15000*8*$J$6*IF('Span Table '!$T$5="Yes",2,1)*144)/(E$107*$B122*$K$103),(($B122/120)*48*144*10000000*$J$4*IF('Span Table '!$T$5="Yes",2,1)*2)/(E$107*$B122^3*$K$103)),0)</f>
        <v>23</v>
      </c>
      <c r="F122" s="14">
        <f>ROUNDUP(+MIN((15000*8*$J$6*IF('Span Table '!$T$5="Yes",2,1)*144)/(F$107*$B122*$K$103),(($B122/120)*48*144*10000000*$J$4*IF('Span Table '!$T$5="Yes",2,1)*2)/(F$107*$B122^3*$K$103)),0)</f>
        <v>22</v>
      </c>
      <c r="G122" s="14">
        <f>ROUNDUP(+MIN((15000*8*$J$6*IF('Span Table '!$T$5="Yes",2,1)*144)/(G$107*$B122*$K$103),(($B122/120)*48*144*10000000*$J$4*IF('Span Table '!$T$5="Yes",2,1)*2)/(G$107*$B122^3*$K$103)),0)</f>
        <v>21</v>
      </c>
      <c r="H122" s="14">
        <f>ROUNDUP(+MIN((15000*8*$J$6*IF('Span Table '!$T$5="Yes",2,1)*144)/(H$107*$B122*$K$103),(($B122/120)*48*144*10000000*$J$4*IF('Span Table '!$T$5="Yes",2,1)*2)/(H$107*$B122^3*$K$103)),0)</f>
        <v>21</v>
      </c>
      <c r="I122" s="14">
        <f>ROUNDUP(+MIN((15000*8*$J$6*IF('Span Table '!$T$5="Yes",2,1)*144)/(I$107*$B122*$K$103),(($B122/120)*48*144*10000000*$J$4*IF('Span Table '!$T$5="Yes",2,1)*2)/(I$107*$B122^3*$K$103)),0)</f>
        <v>20</v>
      </c>
      <c r="J122" s="14">
        <f>ROUNDUP(+MIN((15000*8*$J$6*IF('Span Table '!$T$5="Yes",2,1)*144)/(J$107*$B122*$K$103),(($B122/120)*48*144*10000000*$J$4*IF('Span Table '!$T$5="Yes",2,1)*2)/(J$107*$B122^3*$K$103)),0)</f>
        <v>19</v>
      </c>
      <c r="K122" s="18">
        <f t="shared" si="16"/>
        <v>17.928842504743837</v>
      </c>
      <c r="L122" s="1"/>
      <c r="M122" s="37"/>
      <c r="N122" s="37"/>
      <c r="O122" s="37"/>
    </row>
    <row r="123" spans="1:15" ht="15.75" customHeight="1" thickBot="1" x14ac:dyDescent="0.3">
      <c r="A123" s="1"/>
      <c r="B123" s="32">
        <f t="shared" si="15"/>
        <v>210</v>
      </c>
      <c r="C123" s="14">
        <f>ROUNDUP(+MIN((15000*8*$J$6*IF('Span Table '!$T$5="Yes",2,1)*144)/(C$107*$B123*$K$103),(($B123/120)*48*144*10000000*$J$4*IF('Span Table '!$T$5="Yes",2,1)*2)/(C$107*$B123^3*$K$103)),0)</f>
        <v>26</v>
      </c>
      <c r="D123" s="14">
        <f>ROUNDUP(+MIN((15000*8*$J$6*IF('Span Table '!$T$5="Yes",2,1)*144)/(D$107*$B123*$K$103),(($B123/120)*48*144*10000000*$J$4*IF('Span Table '!$T$5="Yes",2,1)*2)/(D$107*$B123^3*$K$103)),0)</f>
        <v>25</v>
      </c>
      <c r="E123" s="14">
        <f>ROUNDUP(+MIN((15000*8*$J$6*IF('Span Table '!$T$5="Yes",2,1)*144)/(E$107*$B123*$K$103),(($B123/120)*48*144*10000000*$J$4*IF('Span Table '!$T$5="Yes",2,1)*2)/(E$107*$B123^3*$K$103)),0)</f>
        <v>24</v>
      </c>
      <c r="F123" s="14">
        <f>ROUNDUP(+MIN((15000*8*$J$6*IF('Span Table '!$T$5="Yes",2,1)*144)/(F$107*$B123*$K$103),(($B123/120)*48*144*10000000*$J$4*IF('Span Table '!$T$5="Yes",2,1)*2)/(F$107*$B123^3*$K$103)),0)</f>
        <v>23</v>
      </c>
      <c r="G123" s="14">
        <f>ROUNDUP(+MIN((15000*8*$J$6*IF('Span Table '!$T$5="Yes",2,1)*144)/(G$107*$B123*$K$103),(($B123/120)*48*144*10000000*$J$4*IF('Span Table '!$T$5="Yes",2,1)*2)/(G$107*$B123^3*$K$103)),0)</f>
        <v>22</v>
      </c>
      <c r="H123" s="14">
        <f>ROUNDUP(+MIN((15000*8*$J$6*IF('Span Table '!$T$5="Yes",2,1)*144)/(H$107*$B123*$K$103),(($B123/120)*48*144*10000000*$J$4*IF('Span Table '!$T$5="Yes",2,1)*2)/(H$107*$B123^3*$K$103)),0)</f>
        <v>21</v>
      </c>
      <c r="I123" s="14">
        <f>ROUNDUP(+MIN((15000*8*$J$6*IF('Span Table '!$T$5="Yes",2,1)*144)/(I$107*$B123*$K$103),(($B123/120)*48*144*10000000*$J$4*IF('Span Table '!$T$5="Yes",2,1)*2)/(I$107*$B123^3*$K$103)),0)</f>
        <v>20</v>
      </c>
      <c r="J123" s="14">
        <f>ROUNDUP(+MIN((15000*8*$J$6*IF('Span Table '!$T$5="Yes",2,1)*144)/(J$107*$B123*$K$103),(($B123/120)*48*144*10000000*$J$4*IF('Span Table '!$T$5="Yes",2,1)*2)/(J$107*$B123^3*$K$103)),0)</f>
        <v>20</v>
      </c>
      <c r="K123" s="18">
        <f t="shared" si="16"/>
        <v>18.441095147736515</v>
      </c>
      <c r="L123" s="1"/>
      <c r="M123" s="37"/>
      <c r="N123" s="37"/>
      <c r="O123" s="37"/>
    </row>
    <row r="124" spans="1:15" ht="15.75" customHeight="1" thickBot="1" x14ac:dyDescent="0.3">
      <c r="A124" s="1"/>
      <c r="B124" s="32">
        <f t="shared" si="15"/>
        <v>204</v>
      </c>
      <c r="C124" s="14">
        <f>ROUNDUP(+MIN((15000*8*$J$6*IF('Span Table '!$T$5="Yes",2,1)*144)/(C$107*$B124*$K$103),(($B124/120)*48*144*10000000*$J$4*IF('Span Table '!$T$5="Yes",2,1)*2)/(C$107*$B124^3*$K$103)),0)</f>
        <v>27</v>
      </c>
      <c r="D124" s="14">
        <f>ROUNDUP(+MIN((15000*8*$J$6*IF('Span Table '!$T$5="Yes",2,1)*144)/(D$107*$B124*$K$103),(($B124/120)*48*144*10000000*$J$4*IF('Span Table '!$T$5="Yes",2,1)*2)/(D$107*$B124^3*$K$103)),0)</f>
        <v>26</v>
      </c>
      <c r="E124" s="14">
        <f>ROUNDUP(+MIN((15000*8*$J$6*IF('Span Table '!$T$5="Yes",2,1)*144)/(E$107*$B124*$K$103),(($B124/120)*48*144*10000000*$J$4*IF('Span Table '!$T$5="Yes",2,1)*2)/(E$107*$B124^3*$K$103)),0)</f>
        <v>25</v>
      </c>
      <c r="F124" s="14">
        <f>ROUNDUP(+MIN((15000*8*$J$6*IF('Span Table '!$T$5="Yes",2,1)*144)/(F$107*$B124*$K$103),(($B124/120)*48*144*10000000*$J$4*IF('Span Table '!$T$5="Yes",2,1)*2)/(F$107*$B124^3*$K$103)),0)</f>
        <v>24</v>
      </c>
      <c r="G124" s="14">
        <f>ROUNDUP(+MIN((15000*8*$J$6*IF('Span Table '!$T$5="Yes",2,1)*144)/(G$107*$B124*$K$103),(($B124/120)*48*144*10000000*$J$4*IF('Span Table '!$T$5="Yes",2,1)*2)/(G$107*$B124^3*$K$103)),0)</f>
        <v>23</v>
      </c>
      <c r="H124" s="14">
        <f>ROUNDUP(+MIN((15000*8*$J$6*IF('Span Table '!$T$5="Yes",2,1)*144)/(H$107*$B124*$K$103),(($B124/120)*48*144*10000000*$J$4*IF('Span Table '!$T$5="Yes",2,1)*2)/(H$107*$B124^3*$K$103)),0)</f>
        <v>22</v>
      </c>
      <c r="I124" s="14">
        <f>ROUNDUP(+MIN((15000*8*$J$6*IF('Span Table '!$T$5="Yes",2,1)*144)/(I$107*$B124*$K$103),(($B124/120)*48*144*10000000*$J$4*IF('Span Table '!$T$5="Yes",2,1)*2)/(I$107*$B124^3*$K$103)),0)</f>
        <v>21</v>
      </c>
      <c r="J124" s="14">
        <f>ROUNDUP(+MIN((15000*8*$J$6*IF('Span Table '!$T$5="Yes",2,1)*144)/(J$107*$B124*$K$103),(($B124/120)*48*144*10000000*$J$4*IF('Span Table '!$T$5="Yes",2,1)*2)/(J$107*$B124^3*$K$103)),0)</f>
        <v>20</v>
      </c>
      <c r="K124" s="18">
        <f t="shared" ref="K124:K142" si="17">+MIN((15000*8*$J$6*144)/(K$107*$B124*$K$103),(($B124/120)*48*144*10000000*$J$4*2)/(K$107*$B124^3*$K$103))</f>
        <v>18.983480299140531</v>
      </c>
      <c r="L124" s="1"/>
      <c r="M124" s="37"/>
      <c r="N124" s="37"/>
      <c r="O124" s="37"/>
    </row>
    <row r="125" spans="1:15" ht="15.75" customHeight="1" thickBot="1" x14ac:dyDescent="0.3">
      <c r="A125" s="1"/>
      <c r="B125" s="32">
        <f t="shared" si="15"/>
        <v>198</v>
      </c>
      <c r="C125" s="14">
        <f>ROUNDUP(+MIN((15000*8*$J$6*IF('Span Table '!$T$5="Yes",2,1)*144)/(C$107*$B125*$K$103),(($B125/120)*48*144*10000000*$J$4*IF('Span Table '!$T$5="Yes",2,1)*2)/(C$107*$B125^3*$K$103)),0)</f>
        <v>28</v>
      </c>
      <c r="D125" s="14">
        <f>ROUNDUP(+MIN((15000*8*$J$6*IF('Span Table '!$T$5="Yes",2,1)*144)/(D$107*$B125*$K$103),(($B125/120)*48*144*10000000*$J$4*IF('Span Table '!$T$5="Yes",2,1)*2)/(D$107*$B125^3*$K$103)),0)</f>
        <v>27</v>
      </c>
      <c r="E125" s="14">
        <f>ROUNDUP(+MIN((15000*8*$J$6*IF('Span Table '!$T$5="Yes",2,1)*144)/(E$107*$B125*$K$103),(($B125/120)*48*144*10000000*$J$4*IF('Span Table '!$T$5="Yes",2,1)*2)/(E$107*$B125^3*$K$103)),0)</f>
        <v>26</v>
      </c>
      <c r="F125" s="14">
        <f>ROUNDUP(+MIN((15000*8*$J$6*IF('Span Table '!$T$5="Yes",2,1)*144)/(F$107*$B125*$K$103),(($B125/120)*48*144*10000000*$J$4*IF('Span Table '!$T$5="Yes",2,1)*2)/(F$107*$B125^3*$K$103)),0)</f>
        <v>24</v>
      </c>
      <c r="G125" s="14">
        <f>ROUNDUP(+MIN((15000*8*$J$6*IF('Span Table '!$T$5="Yes",2,1)*144)/(G$107*$B125*$K$103),(($B125/120)*48*144*10000000*$J$4*IF('Span Table '!$T$5="Yes",2,1)*2)/(G$107*$B125^3*$K$103)),0)</f>
        <v>23</v>
      </c>
      <c r="H125" s="14">
        <f>ROUNDUP(+MIN((15000*8*$J$6*IF('Span Table '!$T$5="Yes",2,1)*144)/(H$107*$B125*$K$103),(($B125/120)*48*144*10000000*$J$4*IF('Span Table '!$T$5="Yes",2,1)*2)/(H$107*$B125^3*$K$103)),0)</f>
        <v>22</v>
      </c>
      <c r="I125" s="14">
        <f>ROUNDUP(+MIN((15000*8*$J$6*IF('Span Table '!$T$5="Yes",2,1)*144)/(I$107*$B125*$K$103),(($B125/120)*48*144*10000000*$J$4*IF('Span Table '!$T$5="Yes",2,1)*2)/(I$107*$B125^3*$K$103)),0)</f>
        <v>22</v>
      </c>
      <c r="J125" s="14">
        <f>ROUNDUP(+MIN((15000*8*$J$6*IF('Span Table '!$T$5="Yes",2,1)*144)/(J$107*$B125*$K$103),(($B125/120)*48*144*10000000*$J$4*IF('Span Table '!$T$5="Yes",2,1)*2)/(J$107*$B125^3*$K$103)),0)</f>
        <v>21</v>
      </c>
      <c r="K125" s="18">
        <f t="shared" si="17"/>
        <v>19.558737277902367</v>
      </c>
      <c r="L125" s="1"/>
      <c r="M125" s="37"/>
      <c r="N125" s="37"/>
      <c r="O125" s="37"/>
    </row>
    <row r="126" spans="1:15" ht="15.75" customHeight="1" thickBot="1" x14ac:dyDescent="0.3">
      <c r="A126" s="1"/>
      <c r="B126" s="32">
        <f t="shared" si="15"/>
        <v>192</v>
      </c>
      <c r="C126" s="14">
        <f>ROUNDUP(+MIN((15000*8*$J$6*IF('Span Table '!$T$5="Yes",2,1)*144)/(C$107*$B126*$K$103),(($B126/120)*48*144*10000000*$J$4*IF('Span Table '!$T$5="Yes",2,1)*2)/(C$107*$B126^3*$K$103)),0)</f>
        <v>29</v>
      </c>
      <c r="D126" s="14">
        <f>ROUNDUP(+MIN((15000*8*$J$6*IF('Span Table '!$T$5="Yes",2,1)*144)/(D$107*$B126*$K$103),(($B126/120)*48*144*10000000*$J$4*IF('Span Table '!$T$5="Yes",2,1)*2)/(D$107*$B126^3*$K$103)),0)</f>
        <v>28</v>
      </c>
      <c r="E126" s="14">
        <f>ROUNDUP(+MIN((15000*8*$J$6*IF('Span Table '!$T$5="Yes",2,1)*144)/(E$107*$B126*$K$103),(($B126/120)*48*144*10000000*$J$4*IF('Span Table '!$T$5="Yes",2,1)*2)/(E$107*$B126^3*$K$103)),0)</f>
        <v>26</v>
      </c>
      <c r="F126" s="14">
        <f>ROUNDUP(+MIN((15000*8*$J$6*IF('Span Table '!$T$5="Yes",2,1)*144)/(F$107*$B126*$K$103),(($B126/120)*48*144*10000000*$J$4*IF('Span Table '!$T$5="Yes",2,1)*2)/(F$107*$B126^3*$K$103)),0)</f>
        <v>25</v>
      </c>
      <c r="G126" s="14">
        <f>ROUNDUP(+MIN((15000*8*$J$6*IF('Span Table '!$T$5="Yes",2,1)*144)/(G$107*$B126*$K$103),(($B126/120)*48*144*10000000*$J$4*IF('Span Table '!$T$5="Yes",2,1)*2)/(G$107*$B126^3*$K$103)),0)</f>
        <v>24</v>
      </c>
      <c r="H126" s="14">
        <f>ROUNDUP(+MIN((15000*8*$J$6*IF('Span Table '!$T$5="Yes",2,1)*144)/(H$107*$B126*$K$103),(($B126/120)*48*144*10000000*$J$4*IF('Span Table '!$T$5="Yes",2,1)*2)/(H$107*$B126^3*$K$103)),0)</f>
        <v>23</v>
      </c>
      <c r="I126" s="14">
        <f>ROUNDUP(+MIN((15000*8*$J$6*IF('Span Table '!$T$5="Yes",2,1)*144)/(I$107*$B126*$K$103),(($B126/120)*48*144*10000000*$J$4*IF('Span Table '!$T$5="Yes",2,1)*2)/(I$107*$B126^3*$K$103)),0)</f>
        <v>22</v>
      </c>
      <c r="J126" s="14">
        <f>ROUNDUP(+MIN((15000*8*$J$6*IF('Span Table '!$T$5="Yes",2,1)*144)/(J$107*$B126*$K$103),(($B126/120)*48*144*10000000*$J$4*IF('Span Table '!$T$5="Yes",2,1)*2)/(J$107*$B126^3*$K$103)),0)</f>
        <v>21</v>
      </c>
      <c r="K126" s="18">
        <f t="shared" si="17"/>
        <v>20.169947817836814</v>
      </c>
      <c r="L126" s="1"/>
      <c r="M126" s="37"/>
      <c r="N126" s="37"/>
      <c r="O126" s="37"/>
    </row>
    <row r="127" spans="1:15" ht="15.75" customHeight="1" thickBot="1" x14ac:dyDescent="0.3">
      <c r="A127" s="1"/>
      <c r="B127" s="32">
        <f t="shared" si="15"/>
        <v>186</v>
      </c>
      <c r="C127" s="14">
        <f>ROUNDUP(+MIN((15000*8*$J$6*IF('Span Table '!$T$5="Yes",2,1)*144)/(C$107*$B127*$K$103),(($B127/120)*48*144*10000000*$J$4*IF('Span Table '!$T$5="Yes",2,1)*2)/(C$107*$B127^3*$K$103)),0)</f>
        <v>30</v>
      </c>
      <c r="D127" s="14">
        <f>ROUNDUP(+MIN((15000*8*$J$6*IF('Span Table '!$T$5="Yes",2,1)*144)/(D$107*$B127*$K$103),(($B127/120)*48*144*10000000*$J$4*IF('Span Table '!$T$5="Yes",2,1)*2)/(D$107*$B127^3*$K$103)),0)</f>
        <v>28</v>
      </c>
      <c r="E127" s="14">
        <f>ROUNDUP(+MIN((15000*8*$J$6*IF('Span Table '!$T$5="Yes",2,1)*144)/(E$107*$B127*$K$103),(($B127/120)*48*144*10000000*$J$4*IF('Span Table '!$T$5="Yes",2,1)*2)/(E$107*$B127^3*$K$103)),0)</f>
        <v>27</v>
      </c>
      <c r="F127" s="14">
        <f>ROUNDUP(+MIN((15000*8*$J$6*IF('Span Table '!$T$5="Yes",2,1)*144)/(F$107*$B127*$K$103),(($B127/120)*48*144*10000000*$J$4*IF('Span Table '!$T$5="Yes",2,1)*2)/(F$107*$B127^3*$K$103)),0)</f>
        <v>26</v>
      </c>
      <c r="G127" s="14">
        <f>ROUNDUP(+MIN((15000*8*$J$6*IF('Span Table '!$T$5="Yes",2,1)*144)/(G$107*$B127*$K$103),(($B127/120)*48*144*10000000*$J$4*IF('Span Table '!$T$5="Yes",2,1)*2)/(G$107*$B127^3*$K$103)),0)</f>
        <v>25</v>
      </c>
      <c r="H127" s="14">
        <f>ROUNDUP(+MIN((15000*8*$J$6*IF('Span Table '!$T$5="Yes",2,1)*144)/(H$107*$B127*$K$103),(($B127/120)*48*144*10000000*$J$4*IF('Span Table '!$T$5="Yes",2,1)*2)/(H$107*$B127^3*$K$103)),0)</f>
        <v>24</v>
      </c>
      <c r="I127" s="14">
        <f>ROUNDUP(+MIN((15000*8*$J$6*IF('Span Table '!$T$5="Yes",2,1)*144)/(I$107*$B127*$K$103),(($B127/120)*48*144*10000000*$J$4*IF('Span Table '!$T$5="Yes",2,1)*2)/(I$107*$B127^3*$K$103)),0)</f>
        <v>23</v>
      </c>
      <c r="J127" s="14">
        <f>ROUNDUP(+MIN((15000*8*$J$6*IF('Span Table '!$T$5="Yes",2,1)*144)/(J$107*$B127*$K$103),(($B127/120)*48*144*10000000*$J$4*IF('Span Table '!$T$5="Yes",2,1)*2)/(J$107*$B127^3*$K$103)),0)</f>
        <v>22</v>
      </c>
      <c r="K127" s="18">
        <f t="shared" si="17"/>
        <v>20.820591295831552</v>
      </c>
      <c r="L127" s="1"/>
      <c r="M127" s="37"/>
      <c r="N127" s="37"/>
      <c r="O127" s="37"/>
    </row>
    <row r="128" spans="1:15" ht="15.75" customHeight="1" thickBot="1" x14ac:dyDescent="0.3">
      <c r="A128" s="1"/>
      <c r="B128" s="32">
        <f t="shared" si="15"/>
        <v>180</v>
      </c>
      <c r="C128" s="14">
        <f>ROUNDUP(+MIN((15000*8*$J$6*IF('Span Table '!$T$5="Yes",2,1)*144)/(C$107*$B128*$K$103),(($B128/120)*48*144*10000000*$J$4*IF('Span Table '!$T$5="Yes",2,1)*2)/(C$107*$B128^3*$K$103)),0)</f>
        <v>31</v>
      </c>
      <c r="D128" s="14">
        <f>ROUNDUP(+MIN((15000*8*$J$6*IF('Span Table '!$T$5="Yes",2,1)*144)/(D$107*$B128*$K$103),(($B128/120)*48*144*10000000*$J$4*IF('Span Table '!$T$5="Yes",2,1)*2)/(D$107*$B128^3*$K$103)),0)</f>
        <v>29</v>
      </c>
      <c r="E128" s="14">
        <f>ROUNDUP(+MIN((15000*8*$J$6*IF('Span Table '!$T$5="Yes",2,1)*144)/(E$107*$B128*$K$103),(($B128/120)*48*144*10000000*$J$4*IF('Span Table '!$T$5="Yes",2,1)*2)/(E$107*$B128^3*$K$103)),0)</f>
        <v>28</v>
      </c>
      <c r="F128" s="14">
        <f>ROUNDUP(+MIN((15000*8*$J$6*IF('Span Table '!$T$5="Yes",2,1)*144)/(F$107*$B128*$K$103),(($B128/120)*48*144*10000000*$J$4*IF('Span Table '!$T$5="Yes",2,1)*2)/(F$107*$B128^3*$K$103)),0)</f>
        <v>27</v>
      </c>
      <c r="G128" s="14">
        <f>ROUNDUP(+MIN((15000*8*$J$6*IF('Span Table '!$T$5="Yes",2,1)*144)/(G$107*$B128*$K$103),(($B128/120)*48*144*10000000*$J$4*IF('Span Table '!$T$5="Yes",2,1)*2)/(G$107*$B128^3*$K$103)),0)</f>
        <v>26</v>
      </c>
      <c r="H128" s="14">
        <f>ROUNDUP(+MIN((15000*8*$J$6*IF('Span Table '!$T$5="Yes",2,1)*144)/(H$107*$B128*$K$103),(($B128/120)*48*144*10000000*$J$4*IF('Span Table '!$T$5="Yes",2,1)*2)/(H$107*$B128^3*$K$103)),0)</f>
        <v>25</v>
      </c>
      <c r="I128" s="14">
        <f>ROUNDUP(+MIN((15000*8*$J$6*IF('Span Table '!$T$5="Yes",2,1)*144)/(I$107*$B128*$K$103),(($B128/120)*48*144*10000000*$J$4*IF('Span Table '!$T$5="Yes",2,1)*2)/(I$107*$B128^3*$K$103)),0)</f>
        <v>24</v>
      </c>
      <c r="J128" s="14">
        <f>ROUNDUP(+MIN((15000*8*$J$6*IF('Span Table '!$T$5="Yes",2,1)*144)/(J$107*$B128*$K$103),(($B128/120)*48*144*10000000*$J$4*IF('Span Table '!$T$5="Yes",2,1)*2)/(J$107*$B128^3*$K$103)),0)</f>
        <v>23</v>
      </c>
      <c r="K128" s="18">
        <f t="shared" si="17"/>
        <v>21.514611005692604</v>
      </c>
      <c r="L128" s="1"/>
      <c r="M128" s="37"/>
      <c r="N128" s="37"/>
      <c r="O128" s="37"/>
    </row>
    <row r="129" spans="1:15" ht="15.75" customHeight="1" thickBot="1" x14ac:dyDescent="0.3">
      <c r="A129" s="1"/>
      <c r="B129" s="32">
        <f t="shared" si="15"/>
        <v>174</v>
      </c>
      <c r="C129" s="14">
        <f>ROUNDUP(+MIN((15000*8*$J$6*IF('Span Table '!$T$5="Yes",2,1)*144)/(C$107*$B129*$K$103),(($B129/120)*48*144*10000000*$J$4*IF('Span Table '!$T$5="Yes",2,1)*2)/(C$107*$B129^3*$K$103)),0)</f>
        <v>32</v>
      </c>
      <c r="D129" s="14">
        <f>ROUNDUP(+MIN((15000*8*$J$6*IF('Span Table '!$T$5="Yes",2,1)*144)/(D$107*$B129*$K$103),(($B129/120)*48*144*10000000*$J$4*IF('Span Table '!$T$5="Yes",2,1)*2)/(D$107*$B129^3*$K$103)),0)</f>
        <v>30</v>
      </c>
      <c r="E129" s="14">
        <f>ROUNDUP(+MIN((15000*8*$J$6*IF('Span Table '!$T$5="Yes",2,1)*144)/(E$107*$B129*$K$103),(($B129/120)*48*144*10000000*$J$4*IF('Span Table '!$T$5="Yes",2,1)*2)/(E$107*$B129^3*$K$103)),0)</f>
        <v>29</v>
      </c>
      <c r="F129" s="14">
        <f>ROUNDUP(+MIN((15000*8*$J$6*IF('Span Table '!$T$5="Yes",2,1)*144)/(F$107*$B129*$K$103),(($B129/120)*48*144*10000000*$J$4*IF('Span Table '!$T$5="Yes",2,1)*2)/(F$107*$B129^3*$K$103)),0)</f>
        <v>28</v>
      </c>
      <c r="G129" s="14">
        <f>ROUNDUP(+MIN((15000*8*$J$6*IF('Span Table '!$T$5="Yes",2,1)*144)/(G$107*$B129*$K$103),(($B129/120)*48*144*10000000*$J$4*IF('Span Table '!$T$5="Yes",2,1)*2)/(G$107*$B129^3*$K$103)),0)</f>
        <v>27</v>
      </c>
      <c r="H129" s="14">
        <f>ROUNDUP(+MIN((15000*8*$J$6*IF('Span Table '!$T$5="Yes",2,1)*144)/(H$107*$B129*$K$103),(($B129/120)*48*144*10000000*$J$4*IF('Span Table '!$T$5="Yes",2,1)*2)/(H$107*$B129^3*$K$103)),0)</f>
        <v>25</v>
      </c>
      <c r="I129" s="14">
        <f>ROUNDUP(+MIN((15000*8*$J$6*IF('Span Table '!$T$5="Yes",2,1)*144)/(I$107*$B129*$K$103),(($B129/120)*48*144*10000000*$J$4*IF('Span Table '!$T$5="Yes",2,1)*2)/(I$107*$B129^3*$K$103)),0)</f>
        <v>24</v>
      </c>
      <c r="J129" s="14">
        <f>ROUNDUP(+MIN((15000*8*$J$6*IF('Span Table '!$T$5="Yes",2,1)*144)/(J$107*$B129*$K$103),(($B129/120)*48*144*10000000*$J$4*IF('Span Table '!$T$5="Yes",2,1)*2)/(J$107*$B129^3*$K$103)),0)</f>
        <v>24</v>
      </c>
      <c r="K129" s="18">
        <f t="shared" si="17"/>
        <v>22.256494143819936</v>
      </c>
      <c r="L129" s="1"/>
      <c r="M129" s="37"/>
      <c r="N129" s="37"/>
      <c r="O129" s="37"/>
    </row>
    <row r="130" spans="1:15" ht="15.75" customHeight="1" thickBot="1" x14ac:dyDescent="0.3">
      <c r="A130" s="1"/>
      <c r="B130" s="32">
        <f t="shared" si="15"/>
        <v>168</v>
      </c>
      <c r="C130" s="14">
        <f>ROUNDUP(+MIN((15000*8*$J$6*IF('Span Table '!$T$5="Yes",2,1)*144)/(C$107*$B130*$K$103),(($B130/120)*48*144*10000000*$J$4*IF('Span Table '!$T$5="Yes",2,1)*2)/(C$107*$B130^3*$K$103)),0)</f>
        <v>33</v>
      </c>
      <c r="D130" s="14">
        <f>ROUNDUP(+MIN((15000*8*$J$6*IF('Span Table '!$T$5="Yes",2,1)*144)/(D$107*$B130*$K$103),(($B130/120)*48*144*10000000*$J$4*IF('Span Table '!$T$5="Yes",2,1)*2)/(D$107*$B130^3*$K$103)),0)</f>
        <v>31</v>
      </c>
      <c r="E130" s="14">
        <f>ROUNDUP(+MIN((15000*8*$J$6*IF('Span Table '!$T$5="Yes",2,1)*144)/(E$107*$B130*$K$103),(($B130/120)*48*144*10000000*$J$4*IF('Span Table '!$T$5="Yes",2,1)*2)/(E$107*$B130^3*$K$103)),0)</f>
        <v>30</v>
      </c>
      <c r="F130" s="14">
        <f>ROUNDUP(+MIN((15000*8*$J$6*IF('Span Table '!$T$5="Yes",2,1)*144)/(F$107*$B130*$K$103),(($B130/120)*48*144*10000000*$J$4*IF('Span Table '!$T$5="Yes",2,1)*2)/(F$107*$B130^3*$K$103)),0)</f>
        <v>29</v>
      </c>
      <c r="G130" s="14">
        <f>ROUNDUP(+MIN((15000*8*$J$6*IF('Span Table '!$T$5="Yes",2,1)*144)/(G$107*$B130*$K$103),(($B130/120)*48*144*10000000*$J$4*IF('Span Table '!$T$5="Yes",2,1)*2)/(G$107*$B130^3*$K$103)),0)</f>
        <v>27</v>
      </c>
      <c r="H130" s="14">
        <f>ROUNDUP(+MIN((15000*8*$J$6*IF('Span Table '!$T$5="Yes",2,1)*144)/(H$107*$B130*$K$103),(($B130/120)*48*144*10000000*$J$4*IF('Span Table '!$T$5="Yes",2,1)*2)/(H$107*$B130^3*$K$103)),0)</f>
        <v>26</v>
      </c>
      <c r="I130" s="14">
        <f>ROUNDUP(+MIN((15000*8*$J$6*IF('Span Table '!$T$5="Yes",2,1)*144)/(I$107*$B130*$K$103),(($B130/120)*48*144*10000000*$J$4*IF('Span Table '!$T$5="Yes",2,1)*2)/(I$107*$B130^3*$K$103)),0)</f>
        <v>25</v>
      </c>
      <c r="J130" s="14">
        <f>ROUNDUP(+MIN((15000*8*$J$6*IF('Span Table '!$T$5="Yes",2,1)*144)/(J$107*$B130*$K$103),(($B130/120)*48*144*10000000*$J$4*IF('Span Table '!$T$5="Yes",2,1)*2)/(J$107*$B130^3*$K$103)),0)</f>
        <v>24</v>
      </c>
      <c r="K130" s="18">
        <f t="shared" si="17"/>
        <v>23.051368934670649</v>
      </c>
      <c r="L130" s="1"/>
      <c r="M130" s="37"/>
      <c r="N130" s="37"/>
      <c r="O130" s="37"/>
    </row>
    <row r="131" spans="1:15" ht="15.75" customHeight="1" thickBot="1" x14ac:dyDescent="0.3">
      <c r="A131" s="1"/>
      <c r="B131" s="32">
        <f t="shared" si="15"/>
        <v>162</v>
      </c>
      <c r="C131" s="14">
        <f>ROUNDUP(+MIN((15000*8*$J$6*IF('Span Table '!$T$5="Yes",2,1)*144)/(C$107*$B131*$K$103),(($B131/120)*48*144*10000000*$J$4*IF('Span Table '!$T$5="Yes",2,1)*2)/(C$107*$B131^3*$K$103)),0)</f>
        <v>34</v>
      </c>
      <c r="D131" s="14">
        <f>ROUNDUP(+MIN((15000*8*$J$6*IF('Span Table '!$T$5="Yes",2,1)*144)/(D$107*$B131*$K$103),(($B131/120)*48*144*10000000*$J$4*IF('Span Table '!$T$5="Yes",2,1)*2)/(D$107*$B131^3*$K$103)),0)</f>
        <v>33</v>
      </c>
      <c r="E131" s="14">
        <f>ROUNDUP(+MIN((15000*8*$J$6*IF('Span Table '!$T$5="Yes",2,1)*144)/(E$107*$B131*$K$103),(($B131/120)*48*144*10000000*$J$4*IF('Span Table '!$T$5="Yes",2,1)*2)/(E$107*$B131^3*$K$103)),0)</f>
        <v>31</v>
      </c>
      <c r="F131" s="14">
        <f>ROUNDUP(+MIN((15000*8*$J$6*IF('Span Table '!$T$5="Yes",2,1)*144)/(F$107*$B131*$K$103),(($B131/120)*48*144*10000000*$J$4*IF('Span Table '!$T$5="Yes",2,1)*2)/(F$107*$B131^3*$K$103)),0)</f>
        <v>30</v>
      </c>
      <c r="G131" s="14">
        <f>ROUNDUP(+MIN((15000*8*$J$6*IF('Span Table '!$T$5="Yes",2,1)*144)/(G$107*$B131*$K$103),(($B131/120)*48*144*10000000*$J$4*IF('Span Table '!$T$5="Yes",2,1)*2)/(G$107*$B131^3*$K$103)),0)</f>
        <v>28</v>
      </c>
      <c r="H131" s="14">
        <f>ROUNDUP(+MIN((15000*8*$J$6*IF('Span Table '!$T$5="Yes",2,1)*144)/(H$107*$B131*$K$103),(($B131/120)*48*144*10000000*$J$4*IF('Span Table '!$T$5="Yes",2,1)*2)/(H$107*$B131^3*$K$103)),0)</f>
        <v>27</v>
      </c>
      <c r="I131" s="14">
        <f>ROUNDUP(+MIN((15000*8*$J$6*IF('Span Table '!$T$5="Yes",2,1)*144)/(I$107*$B131*$K$103),(($B131/120)*48*144*10000000*$J$4*IF('Span Table '!$T$5="Yes",2,1)*2)/(I$107*$B131^3*$K$103)),0)</f>
        <v>26</v>
      </c>
      <c r="J131" s="14">
        <f>ROUNDUP(+MIN((15000*8*$J$6*IF('Span Table '!$T$5="Yes",2,1)*144)/(J$107*$B131*$K$103),(($B131/120)*48*144*10000000*$J$4*IF('Span Table '!$T$5="Yes",2,1)*2)/(J$107*$B131^3*$K$103)),0)</f>
        <v>25</v>
      </c>
      <c r="K131" s="18">
        <f t="shared" si="17"/>
        <v>23.905123339658449</v>
      </c>
      <c r="L131" s="1"/>
      <c r="M131" s="37"/>
      <c r="N131" s="37"/>
      <c r="O131" s="37"/>
    </row>
    <row r="132" spans="1:15" ht="15.75" customHeight="1" thickBot="1" x14ac:dyDescent="0.3">
      <c r="A132" s="1"/>
      <c r="B132" s="32">
        <f t="shared" si="15"/>
        <v>156</v>
      </c>
      <c r="C132" s="14">
        <f>ROUNDUP(+MIN((15000*8*$J$6*IF('Span Table '!$T$5="Yes",2,1)*144)/(C$107*$B132*$K$103),(($B132/120)*48*144*10000000*$J$4*IF('Span Table '!$T$5="Yes",2,1)*2)/(C$107*$B132^3*$K$103)),0)</f>
        <v>35</v>
      </c>
      <c r="D132" s="14">
        <f>ROUNDUP(+MIN((15000*8*$J$6*IF('Span Table '!$T$5="Yes",2,1)*144)/(D$107*$B132*$K$103),(($B132/120)*48*144*10000000*$J$4*IF('Span Table '!$T$5="Yes",2,1)*2)/(D$107*$B132^3*$K$103)),0)</f>
        <v>34</v>
      </c>
      <c r="E132" s="14">
        <f>ROUNDUP(+MIN((15000*8*$J$6*IF('Span Table '!$T$5="Yes",2,1)*144)/(E$107*$B132*$K$103),(($B132/120)*48*144*10000000*$J$4*IF('Span Table '!$T$5="Yes",2,1)*2)/(E$107*$B132^3*$K$103)),0)</f>
        <v>32</v>
      </c>
      <c r="F132" s="14">
        <f>ROUNDUP(+MIN((15000*8*$J$6*IF('Span Table '!$T$5="Yes",2,1)*144)/(F$107*$B132*$K$103),(($B132/120)*48*144*10000000*$J$4*IF('Span Table '!$T$5="Yes",2,1)*2)/(F$107*$B132^3*$K$103)),0)</f>
        <v>31</v>
      </c>
      <c r="G132" s="14">
        <f>ROUNDUP(+MIN((15000*8*$J$6*IF('Span Table '!$T$5="Yes",2,1)*144)/(G$107*$B132*$K$103),(($B132/120)*48*144*10000000*$J$4*IF('Span Table '!$T$5="Yes",2,1)*2)/(G$107*$B132^3*$K$103)),0)</f>
        <v>30</v>
      </c>
      <c r="H132" s="14">
        <f>ROUNDUP(+MIN((15000*8*$J$6*IF('Span Table '!$T$5="Yes",2,1)*144)/(H$107*$B132*$K$103),(($B132/120)*48*144*10000000*$J$4*IF('Span Table '!$T$5="Yes",2,1)*2)/(H$107*$B132^3*$K$103)),0)</f>
        <v>28</v>
      </c>
      <c r="I132" s="14">
        <f>ROUNDUP(+MIN((15000*8*$J$6*IF('Span Table '!$T$5="Yes",2,1)*144)/(I$107*$B132*$K$103),(($B132/120)*48*144*10000000*$J$4*IF('Span Table '!$T$5="Yes",2,1)*2)/(I$107*$B132^3*$K$103)),0)</f>
        <v>27</v>
      </c>
      <c r="J132" s="14">
        <f>ROUNDUP(+MIN((15000*8*$J$6*IF('Span Table '!$T$5="Yes",2,1)*144)/(J$107*$B132*$K$103),(($B132/120)*48*144*10000000*$J$4*IF('Span Table '!$T$5="Yes",2,1)*2)/(J$107*$B132^3*$K$103)),0)</f>
        <v>26</v>
      </c>
      <c r="K132" s="18">
        <f t="shared" si="17"/>
        <v>24.824551160414543</v>
      </c>
      <c r="L132" s="1"/>
      <c r="M132" s="37"/>
      <c r="N132" s="37"/>
      <c r="O132" s="37"/>
    </row>
    <row r="133" spans="1:15" ht="15.75" customHeight="1" thickBot="1" x14ac:dyDescent="0.3">
      <c r="A133" s="1"/>
      <c r="B133" s="32">
        <f t="shared" si="15"/>
        <v>150</v>
      </c>
      <c r="C133" s="14">
        <f>ROUNDUP(+MIN((15000*8*$J$6*IF('Span Table '!$T$5="Yes",2,1)*144)/(C$107*$B133*$K$103),(($B133/120)*48*144*10000000*$J$4*IF('Span Table '!$T$5="Yes",2,1)*2)/(C$107*$B133^3*$K$103)),0)</f>
        <v>37</v>
      </c>
      <c r="D133" s="14">
        <f>ROUNDUP(+MIN((15000*8*$J$6*IF('Span Table '!$T$5="Yes",2,1)*144)/(D$107*$B133*$K$103),(($B133/120)*48*144*10000000*$J$4*IF('Span Table '!$T$5="Yes",2,1)*2)/(D$107*$B133^3*$K$103)),0)</f>
        <v>35</v>
      </c>
      <c r="E133" s="14">
        <f>ROUNDUP(+MIN((15000*8*$J$6*IF('Span Table '!$T$5="Yes",2,1)*144)/(E$107*$B133*$K$103),(($B133/120)*48*144*10000000*$J$4*IF('Span Table '!$T$5="Yes",2,1)*2)/(E$107*$B133^3*$K$103)),0)</f>
        <v>34</v>
      </c>
      <c r="F133" s="14">
        <f>ROUNDUP(+MIN((15000*8*$J$6*IF('Span Table '!$T$5="Yes",2,1)*144)/(F$107*$B133*$K$103),(($B133/120)*48*144*10000000*$J$4*IF('Span Table '!$T$5="Yes",2,1)*2)/(F$107*$B133^3*$K$103)),0)</f>
        <v>32</v>
      </c>
      <c r="G133" s="14">
        <f>ROUNDUP(+MIN((15000*8*$J$6*IF('Span Table '!$T$5="Yes",2,1)*144)/(G$107*$B133*$K$103),(($B133/120)*48*144*10000000*$J$4*IF('Span Table '!$T$5="Yes",2,1)*2)/(G$107*$B133^3*$K$103)),0)</f>
        <v>31</v>
      </c>
      <c r="H133" s="14">
        <f>ROUNDUP(+MIN((15000*8*$J$6*IF('Span Table '!$T$5="Yes",2,1)*144)/(H$107*$B133*$K$103),(($B133/120)*48*144*10000000*$J$4*IF('Span Table '!$T$5="Yes",2,1)*2)/(H$107*$B133^3*$K$103)),0)</f>
        <v>29</v>
      </c>
      <c r="I133" s="14">
        <f>ROUNDUP(+MIN((15000*8*$J$6*IF('Span Table '!$T$5="Yes",2,1)*144)/(I$107*$B133*$K$103),(($B133/120)*48*144*10000000*$J$4*IF('Span Table '!$T$5="Yes",2,1)*2)/(I$107*$B133^3*$K$103)),0)</f>
        <v>28</v>
      </c>
      <c r="J133" s="14">
        <f>ROUNDUP(+MIN((15000*8*$J$6*IF('Span Table '!$T$5="Yes",2,1)*144)/(J$107*$B133*$K$103),(($B133/120)*48*144*10000000*$J$4*IF('Span Table '!$T$5="Yes",2,1)*2)/(J$107*$B133^3*$K$103)),0)</f>
        <v>27</v>
      </c>
      <c r="K133" s="18">
        <f t="shared" si="17"/>
        <v>25.817533206831126</v>
      </c>
      <c r="L133" s="1"/>
      <c r="M133" s="37"/>
      <c r="N133" s="37"/>
      <c r="O133" s="37"/>
    </row>
    <row r="134" spans="1:15" ht="15.75" customHeight="1" thickBot="1" x14ac:dyDescent="0.3">
      <c r="A134" s="1"/>
      <c r="B134" s="32">
        <f t="shared" si="15"/>
        <v>144</v>
      </c>
      <c r="C134" s="14">
        <f>ROUNDUP(+MIN((15000*8*$J$6*IF('Span Table '!$T$5="Yes",2,1)*144)/(C$107*$B134*$K$103),(($B134/120)*48*144*10000000*$J$4*IF('Span Table '!$T$5="Yes",2,1)*2)/(C$107*$B134^3*$K$103)),0)</f>
        <v>38</v>
      </c>
      <c r="D134" s="14">
        <f>ROUNDUP(+MIN((15000*8*$J$6*IF('Span Table '!$T$5="Yes",2,1)*144)/(D$107*$B134*$K$103),(($B134/120)*48*144*10000000*$J$4*IF('Span Table '!$T$5="Yes",2,1)*2)/(D$107*$B134^3*$K$103)),0)</f>
        <v>37</v>
      </c>
      <c r="E134" s="14">
        <f>ROUNDUP(+MIN((15000*8*$J$6*IF('Span Table '!$T$5="Yes",2,1)*144)/(E$107*$B134*$K$103),(($B134/120)*48*144*10000000*$J$4*IF('Span Table '!$T$5="Yes",2,1)*2)/(E$107*$B134^3*$K$103)),0)</f>
        <v>35</v>
      </c>
      <c r="F134" s="14">
        <f>ROUNDUP(+MIN((15000*8*$J$6*IF('Span Table '!$T$5="Yes",2,1)*144)/(F$107*$B134*$K$103),(($B134/120)*48*144*10000000*$J$4*IF('Span Table '!$T$5="Yes",2,1)*2)/(F$107*$B134^3*$K$103)),0)</f>
        <v>33</v>
      </c>
      <c r="G134" s="14">
        <f>ROUNDUP(+MIN((15000*8*$J$6*IF('Span Table '!$T$5="Yes",2,1)*144)/(G$107*$B134*$K$103),(($B134/120)*48*144*10000000*$J$4*IF('Span Table '!$T$5="Yes",2,1)*2)/(G$107*$B134^3*$K$103)),0)</f>
        <v>32</v>
      </c>
      <c r="H134" s="14">
        <f>ROUNDUP(+MIN((15000*8*$J$6*IF('Span Table '!$T$5="Yes",2,1)*144)/(H$107*$B134*$K$103),(($B134/120)*48*144*10000000*$J$4*IF('Span Table '!$T$5="Yes",2,1)*2)/(H$107*$B134^3*$K$103)),0)</f>
        <v>31</v>
      </c>
      <c r="I134" s="14">
        <f>ROUNDUP(+MIN((15000*8*$J$6*IF('Span Table '!$T$5="Yes",2,1)*144)/(I$107*$B134*$K$103),(($B134/120)*48*144*10000000*$J$4*IF('Span Table '!$T$5="Yes",2,1)*2)/(I$107*$B134^3*$K$103)),0)</f>
        <v>29</v>
      </c>
      <c r="J134" s="14">
        <f>ROUNDUP(+MIN((15000*8*$J$6*IF('Span Table '!$T$5="Yes",2,1)*144)/(J$107*$B134*$K$103),(($B134/120)*48*144*10000000*$J$4*IF('Span Table '!$T$5="Yes",2,1)*2)/(J$107*$B134^3*$K$103)),0)</f>
        <v>28</v>
      </c>
      <c r="K134" s="18">
        <f t="shared" si="17"/>
        <v>26.893263757115754</v>
      </c>
      <c r="L134" s="1"/>
      <c r="M134" s="37"/>
      <c r="N134" s="37"/>
      <c r="O134" s="37"/>
    </row>
    <row r="135" spans="1:15" ht="15.75" customHeight="1" thickBot="1" x14ac:dyDescent="0.3">
      <c r="A135" s="1"/>
      <c r="B135" s="32">
        <f t="shared" si="15"/>
        <v>138</v>
      </c>
      <c r="C135" s="14">
        <f>ROUNDUP(+MIN((15000*8*$J$6*IF('Span Table '!$T$5="Yes",2,1)*144)/(C$107*$B135*$K$103),(($B135/120)*48*144*10000000*$J$4*IF('Span Table '!$T$5="Yes",2,1)*2)/(C$107*$B135^3*$K$103)),0)</f>
        <v>40</v>
      </c>
      <c r="D135" s="14">
        <f>ROUNDUP(+MIN((15000*8*$J$6*IF('Span Table '!$T$5="Yes",2,1)*144)/(D$107*$B135*$K$103),(($B135/120)*48*144*10000000*$J$4*IF('Span Table '!$T$5="Yes",2,1)*2)/(D$107*$B135^3*$K$103)),0)</f>
        <v>38</v>
      </c>
      <c r="E135" s="14">
        <f>ROUNDUP(+MIN((15000*8*$J$6*IF('Span Table '!$T$5="Yes",2,1)*144)/(E$107*$B135*$K$103),(($B135/120)*48*144*10000000*$J$4*IF('Span Table '!$T$5="Yes",2,1)*2)/(E$107*$B135^3*$K$103)),0)</f>
        <v>36</v>
      </c>
      <c r="F135" s="14">
        <f>ROUNDUP(+MIN((15000*8*$J$6*IF('Span Table '!$T$5="Yes",2,1)*144)/(F$107*$B135*$K$103),(($B135/120)*48*144*10000000*$J$4*IF('Span Table '!$T$5="Yes",2,1)*2)/(F$107*$B135^3*$K$103)),0)</f>
        <v>35</v>
      </c>
      <c r="G135" s="14">
        <f>ROUNDUP(+MIN((15000*8*$J$6*IF('Span Table '!$T$5="Yes",2,1)*144)/(G$107*$B135*$K$103),(($B135/120)*48*144*10000000*$J$4*IF('Span Table '!$T$5="Yes",2,1)*2)/(G$107*$B135^3*$K$103)),0)</f>
        <v>33</v>
      </c>
      <c r="H135" s="14">
        <f>ROUNDUP(+MIN((15000*8*$J$6*IF('Span Table '!$T$5="Yes",2,1)*144)/(H$107*$B135*$K$103),(($B135/120)*48*144*10000000*$J$4*IF('Span Table '!$T$5="Yes",2,1)*2)/(H$107*$B135^3*$K$103)),0)</f>
        <v>32</v>
      </c>
      <c r="I135" s="14">
        <f>ROUNDUP(+MIN((15000*8*$J$6*IF('Span Table '!$T$5="Yes",2,1)*144)/(I$107*$B135*$K$103),(($B135/120)*48*144*10000000*$J$4*IF('Span Table '!$T$5="Yes",2,1)*2)/(I$107*$B135^3*$K$103)),0)</f>
        <v>31</v>
      </c>
      <c r="J135" s="14">
        <f>ROUNDUP(+MIN((15000*8*$J$6*IF('Span Table '!$T$5="Yes",2,1)*144)/(J$107*$B135*$K$103),(($B135/120)*48*144*10000000*$J$4*IF('Span Table '!$T$5="Yes",2,1)*2)/(J$107*$B135^3*$K$103)),0)</f>
        <v>30</v>
      </c>
      <c r="K135" s="18">
        <f t="shared" si="17"/>
        <v>28.062536094381656</v>
      </c>
      <c r="L135" s="1"/>
      <c r="M135" s="37"/>
      <c r="N135" s="37"/>
      <c r="O135" s="37"/>
    </row>
    <row r="136" spans="1:15" ht="15.75" customHeight="1" thickBot="1" x14ac:dyDescent="0.3">
      <c r="A136" s="1"/>
      <c r="B136" s="32">
        <f t="shared" si="15"/>
        <v>132</v>
      </c>
      <c r="C136" s="14">
        <f>ROUNDUP(+MIN((15000*8*$J$6*IF('Span Table '!$T$5="Yes",2,1)*144)/(C$107*$B136*$K$103),(($B136/120)*48*144*10000000*$J$4*IF('Span Table '!$T$5="Yes",2,1)*2)/(C$107*$B136^3*$K$103)),0)</f>
        <v>42</v>
      </c>
      <c r="D136" s="14">
        <f>ROUNDUP(+MIN((15000*8*$J$6*IF('Span Table '!$T$5="Yes",2,1)*144)/(D$107*$B136*$K$103),(($B136/120)*48*144*10000000*$J$4*IF('Span Table '!$T$5="Yes",2,1)*2)/(D$107*$B136^3*$K$103)),0)</f>
        <v>40</v>
      </c>
      <c r="E136" s="14">
        <f>ROUNDUP(+MIN((15000*8*$J$6*IF('Span Table '!$T$5="Yes",2,1)*144)/(E$107*$B136*$K$103),(($B136/120)*48*144*10000000*$J$4*IF('Span Table '!$T$5="Yes",2,1)*2)/(E$107*$B136^3*$K$103)),0)</f>
        <v>38</v>
      </c>
      <c r="F136" s="14">
        <f>ROUNDUP(+MIN((15000*8*$J$6*IF('Span Table '!$T$5="Yes",2,1)*144)/(F$107*$B136*$K$103),(($B136/120)*48*144*10000000*$J$4*IF('Span Table '!$T$5="Yes",2,1)*2)/(F$107*$B136^3*$K$103)),0)</f>
        <v>36</v>
      </c>
      <c r="G136" s="14">
        <f>ROUNDUP(+MIN((15000*8*$J$6*IF('Span Table '!$T$5="Yes",2,1)*144)/(G$107*$B136*$K$103),(($B136/120)*48*144*10000000*$J$4*IF('Span Table '!$T$5="Yes",2,1)*2)/(G$107*$B136^3*$K$103)),0)</f>
        <v>35</v>
      </c>
      <c r="H136" s="14">
        <f>ROUNDUP(+MIN((15000*8*$J$6*IF('Span Table '!$T$5="Yes",2,1)*144)/(H$107*$B136*$K$103),(($B136/120)*48*144*10000000*$J$4*IF('Span Table '!$T$5="Yes",2,1)*2)/(H$107*$B136^3*$K$103)),0)</f>
        <v>33</v>
      </c>
      <c r="I136" s="14">
        <f>ROUNDUP(+MIN((15000*8*$J$6*IF('Span Table '!$T$5="Yes",2,1)*144)/(I$107*$B136*$K$103),(($B136/120)*48*144*10000000*$J$4*IF('Span Table '!$T$5="Yes",2,1)*2)/(I$107*$B136^3*$K$103)),0)</f>
        <v>32</v>
      </c>
      <c r="J136" s="14">
        <f>ROUNDUP(+MIN((15000*8*$J$6*IF('Span Table '!$T$5="Yes",2,1)*144)/(J$107*$B136*$K$103),(($B136/120)*48*144*10000000*$J$4*IF('Span Table '!$T$5="Yes",2,1)*2)/(J$107*$B136^3*$K$103)),0)</f>
        <v>31</v>
      </c>
      <c r="K136" s="18">
        <f t="shared" si="17"/>
        <v>29.33810591685355</v>
      </c>
      <c r="L136" s="1"/>
      <c r="M136" s="37"/>
      <c r="N136" s="37"/>
      <c r="O136" s="37"/>
    </row>
    <row r="137" spans="1:15" ht="15.75" customHeight="1" thickBot="1" x14ac:dyDescent="0.3">
      <c r="A137" s="1"/>
      <c r="B137" s="32">
        <f t="shared" si="15"/>
        <v>126</v>
      </c>
      <c r="C137" s="14">
        <f>ROUNDUP(+MIN((15000*8*$J$6*IF('Span Table '!$T$5="Yes",2,1)*144)/(C$107*$B137*$K$103),(($B137/120)*48*144*10000000*$J$4*IF('Span Table '!$T$5="Yes",2,1)*2)/(C$107*$B137^3*$K$103)),0)</f>
        <v>44</v>
      </c>
      <c r="D137" s="14">
        <f>ROUNDUP(+MIN((15000*8*$J$6*IF('Span Table '!$T$5="Yes",2,1)*144)/(D$107*$B137*$K$103),(($B137/120)*48*144*10000000*$J$4*IF('Span Table '!$T$5="Yes",2,1)*2)/(D$107*$B137^3*$K$103)),0)</f>
        <v>42</v>
      </c>
      <c r="E137" s="14">
        <f>ROUNDUP(+MIN((15000*8*$J$6*IF('Span Table '!$T$5="Yes",2,1)*144)/(E$107*$B137*$K$103),(($B137/120)*48*144*10000000*$J$4*IF('Span Table '!$T$5="Yes",2,1)*2)/(E$107*$B137^3*$K$103)),0)</f>
        <v>40</v>
      </c>
      <c r="F137" s="14">
        <f>ROUNDUP(+MIN((15000*8*$J$6*IF('Span Table '!$T$5="Yes",2,1)*144)/(F$107*$B137*$K$103),(($B137/120)*48*144*10000000*$J$4*IF('Span Table '!$T$5="Yes",2,1)*2)/(F$107*$B137^3*$K$103)),0)</f>
        <v>38</v>
      </c>
      <c r="G137" s="14">
        <f>ROUNDUP(+MIN((15000*8*$J$6*IF('Span Table '!$T$5="Yes",2,1)*144)/(G$107*$B137*$K$103),(($B137/120)*48*144*10000000*$J$4*IF('Span Table '!$T$5="Yes",2,1)*2)/(G$107*$B137^3*$K$103)),0)</f>
        <v>36</v>
      </c>
      <c r="H137" s="14">
        <f>ROUNDUP(+MIN((15000*8*$J$6*IF('Span Table '!$T$5="Yes",2,1)*144)/(H$107*$B137*$K$103),(($B137/120)*48*144*10000000*$J$4*IF('Span Table '!$T$5="Yes",2,1)*2)/(H$107*$B137^3*$K$103)),0)</f>
        <v>35</v>
      </c>
      <c r="I137" s="14">
        <f>ROUNDUP(+MIN((15000*8*$J$6*IF('Span Table '!$T$5="Yes",2,1)*144)/(I$107*$B137*$K$103),(($B137/120)*48*144*10000000*$J$4*IF('Span Table '!$T$5="Yes",2,1)*2)/(I$107*$B137^3*$K$103)),0)</f>
        <v>34</v>
      </c>
      <c r="J137" s="14">
        <f>ROUNDUP(+MIN((15000*8*$J$6*IF('Span Table '!$T$5="Yes",2,1)*144)/(J$107*$B137*$K$103),(($B137/120)*48*144*10000000*$J$4*IF('Span Table '!$T$5="Yes",2,1)*2)/(J$107*$B137^3*$K$103)),0)</f>
        <v>32</v>
      </c>
      <c r="K137" s="18">
        <f t="shared" si="17"/>
        <v>30.73515857956086</v>
      </c>
      <c r="L137" s="1"/>
      <c r="M137" s="37"/>
      <c r="N137" s="37"/>
      <c r="O137" s="37"/>
    </row>
    <row r="138" spans="1:15" ht="15.75" customHeight="1" thickBot="1" x14ac:dyDescent="0.3">
      <c r="A138" s="1"/>
      <c r="B138" s="32">
        <f t="shared" si="15"/>
        <v>120</v>
      </c>
      <c r="C138" s="14">
        <f>ROUNDUP(+MIN((15000*8*$J$6*IF('Span Table '!$T$5="Yes",2,1)*144)/(C$107*$B138*$K$103),(($B138/120)*48*144*10000000*$J$4*IF('Span Table '!$T$5="Yes",2,1)*2)/(C$107*$B138^3*$K$103)),0)</f>
        <v>46</v>
      </c>
      <c r="D138" s="14">
        <f>ROUNDUP(+MIN((15000*8*$J$6*IF('Span Table '!$T$5="Yes",2,1)*144)/(D$107*$B138*$K$103),(($B138/120)*48*144*10000000*$J$4*IF('Span Table '!$T$5="Yes",2,1)*2)/(D$107*$B138^3*$K$103)),0)</f>
        <v>44</v>
      </c>
      <c r="E138" s="14">
        <f>ROUNDUP(+MIN((15000*8*$J$6*IF('Span Table '!$T$5="Yes",2,1)*144)/(E$107*$B138*$K$103),(($B138/120)*48*144*10000000*$J$4*IF('Span Table '!$T$5="Yes",2,1)*2)/(E$107*$B138^3*$K$103)),0)</f>
        <v>42</v>
      </c>
      <c r="F138" s="14">
        <f>ROUNDUP(+MIN((15000*8*$J$6*IF('Span Table '!$T$5="Yes",2,1)*144)/(F$107*$B138*$K$103),(($B138/120)*48*144*10000000*$J$4*IF('Span Table '!$T$5="Yes",2,1)*2)/(F$107*$B138^3*$K$103)),0)</f>
        <v>40</v>
      </c>
      <c r="G138" s="14">
        <f>ROUNDUP(+MIN((15000*8*$J$6*IF('Span Table '!$T$5="Yes",2,1)*144)/(G$107*$B138*$K$103),(($B138/120)*48*144*10000000*$J$4*IF('Span Table '!$T$5="Yes",2,1)*2)/(G$107*$B138^3*$K$103)),0)</f>
        <v>38</v>
      </c>
      <c r="H138" s="14">
        <f>ROUNDUP(+MIN((15000*8*$J$6*IF('Span Table '!$T$5="Yes",2,1)*144)/(H$107*$B138*$K$103),(($B138/120)*48*144*10000000*$J$4*IF('Span Table '!$T$5="Yes",2,1)*2)/(H$107*$B138^3*$K$103)),0)</f>
        <v>37</v>
      </c>
      <c r="I138" s="14">
        <f>ROUNDUP(+MIN((15000*8*$J$6*IF('Span Table '!$T$5="Yes",2,1)*144)/(I$107*$B138*$K$103),(($B138/120)*48*144*10000000*$J$4*IF('Span Table '!$T$5="Yes",2,1)*2)/(I$107*$B138^3*$K$103)),0)</f>
        <v>35</v>
      </c>
      <c r="J138" s="14">
        <f>ROUNDUP(+MIN((15000*8*$J$6*IF('Span Table '!$T$5="Yes",2,1)*144)/(J$107*$B138*$K$103),(($B138/120)*48*144*10000000*$J$4*IF('Span Table '!$T$5="Yes",2,1)*2)/(J$107*$B138^3*$K$103)),0)</f>
        <v>34</v>
      </c>
      <c r="K138" s="18">
        <f t="shared" si="17"/>
        <v>32.271916508538901</v>
      </c>
      <c r="L138" s="1"/>
      <c r="M138" s="37"/>
      <c r="N138" s="37"/>
      <c r="O138" s="37"/>
    </row>
    <row r="139" spans="1:15" ht="15.75" customHeight="1" thickBot="1" x14ac:dyDescent="0.3">
      <c r="A139" s="1"/>
      <c r="B139" s="32">
        <f t="shared" si="15"/>
        <v>114</v>
      </c>
      <c r="C139" s="14">
        <f>ROUNDUP(+MIN((15000*8*$J$6*IF('Span Table '!$T$5="Yes",2,1)*144)/(C$107*$B139*$K$103),(($B139/120)*48*144*10000000*$J$4*IF('Span Table '!$T$5="Yes",2,1)*2)/(C$107*$B139^3*$K$103)),0)</f>
        <v>48</v>
      </c>
      <c r="D139" s="14">
        <f>ROUNDUP(+MIN((15000*8*$J$6*IF('Span Table '!$T$5="Yes",2,1)*144)/(D$107*$B139*$K$103),(($B139/120)*48*144*10000000*$J$4*IF('Span Table '!$T$5="Yes",2,1)*2)/(D$107*$B139^3*$K$103)),0)</f>
        <v>46</v>
      </c>
      <c r="E139" s="14">
        <f>ROUNDUP(+MIN((15000*8*$J$6*IF('Span Table '!$T$5="Yes",2,1)*144)/(E$107*$B139*$K$103),(($B139/120)*48*144*10000000*$J$4*IF('Span Table '!$T$5="Yes",2,1)*2)/(E$107*$B139^3*$K$103)),0)</f>
        <v>44</v>
      </c>
      <c r="F139" s="14">
        <f>ROUNDUP(+MIN((15000*8*$J$6*IF('Span Table '!$T$5="Yes",2,1)*144)/(F$107*$B139*$K$103),(($B139/120)*48*144*10000000*$J$4*IF('Span Table '!$T$5="Yes",2,1)*2)/(F$107*$B139^3*$K$103)),0)</f>
        <v>42</v>
      </c>
      <c r="G139" s="14">
        <f>ROUNDUP(+MIN((15000*8*$J$6*IF('Span Table '!$T$5="Yes",2,1)*144)/(G$107*$B139*$K$103),(($B139/120)*48*144*10000000*$J$4*IF('Span Table '!$T$5="Yes",2,1)*2)/(G$107*$B139^3*$K$103)),0)</f>
        <v>40</v>
      </c>
      <c r="H139" s="14">
        <f>ROUNDUP(+MIN((15000*8*$J$6*IF('Span Table '!$T$5="Yes",2,1)*144)/(H$107*$B139*$K$103),(($B139/120)*48*144*10000000*$J$4*IF('Span Table '!$T$5="Yes",2,1)*2)/(H$107*$B139^3*$K$103)),0)</f>
        <v>39</v>
      </c>
      <c r="I139" s="14">
        <f>ROUNDUP(+MIN((15000*8*$J$6*IF('Span Table '!$T$5="Yes",2,1)*144)/(I$107*$B139*$K$103),(($B139/120)*48*144*10000000*$J$4*IF('Span Table '!$T$5="Yes",2,1)*2)/(I$107*$B139^3*$K$103)),0)</f>
        <v>37</v>
      </c>
      <c r="J139" s="14">
        <f>ROUNDUP(+MIN((15000*8*$J$6*IF('Span Table '!$T$5="Yes",2,1)*144)/(J$107*$B139*$K$103),(($B139/120)*48*144*10000000*$J$4*IF('Span Table '!$T$5="Yes",2,1)*2)/(J$107*$B139^3*$K$103)),0)</f>
        <v>36</v>
      </c>
      <c r="K139" s="18">
        <f t="shared" si="17"/>
        <v>33.97043843004095</v>
      </c>
      <c r="L139" s="1"/>
      <c r="M139" s="37"/>
      <c r="N139" s="37"/>
      <c r="O139" s="37"/>
    </row>
    <row r="140" spans="1:15" ht="15.75" customHeight="1" thickBot="1" x14ac:dyDescent="0.3">
      <c r="A140" s="1"/>
      <c r="B140" s="32">
        <f>+B141+6</f>
        <v>108</v>
      </c>
      <c r="C140" s="14">
        <f>ROUNDUP(+MIN((15000*8*$J$6*IF('Span Table '!$T$5="Yes",2,1)*144)/(C$107*$B140*$K$103),(($B140/120)*48*144*10000000*$J$4*IF('Span Table '!$T$5="Yes",2,1)*2)/(C$107*$B140^3*$K$103)),0)</f>
        <v>51</v>
      </c>
      <c r="D140" s="14">
        <f>ROUNDUP(+MIN((15000*8*$J$6*IF('Span Table '!$T$5="Yes",2,1)*144)/(D$107*$B140*$K$103),(($B140/120)*48*144*10000000*$J$4*IF('Span Table '!$T$5="Yes",2,1)*2)/(D$107*$B140^3*$K$103)),0)</f>
        <v>49</v>
      </c>
      <c r="E140" s="14">
        <f>ROUNDUP(+MIN((15000*8*$J$6*IF('Span Table '!$T$5="Yes",2,1)*144)/(E$107*$B140*$K$103),(($B140/120)*48*144*10000000*$J$4*IF('Span Table '!$T$5="Yes",2,1)*2)/(E$107*$B140^3*$K$103)),0)</f>
        <v>46</v>
      </c>
      <c r="F140" s="14">
        <f>ROUNDUP(+MIN((15000*8*$J$6*IF('Span Table '!$T$5="Yes",2,1)*144)/(F$107*$B140*$K$103),(($B140/120)*48*144*10000000*$J$4*IF('Span Table '!$T$5="Yes",2,1)*2)/(F$107*$B140^3*$K$103)),0)</f>
        <v>44</v>
      </c>
      <c r="G140" s="14">
        <f>ROUNDUP(+MIN((15000*8*$J$6*IF('Span Table '!$T$5="Yes",2,1)*144)/(G$107*$B140*$K$103),(($B140/120)*48*144*10000000*$J$4*IF('Span Table '!$T$5="Yes",2,1)*2)/(G$107*$B140^3*$K$103)),0)</f>
        <v>42</v>
      </c>
      <c r="H140" s="14">
        <f>ROUNDUP(+MIN((15000*8*$J$6*IF('Span Table '!$T$5="Yes",2,1)*144)/(H$107*$B140*$K$103),(($B140/120)*48*144*10000000*$J$4*IF('Span Table '!$T$5="Yes",2,1)*2)/(H$107*$B140^3*$K$103)),0)</f>
        <v>41</v>
      </c>
      <c r="I140" s="14">
        <f>ROUNDUP(+MIN((15000*8*$J$6*IF('Span Table '!$T$5="Yes",2,1)*144)/(I$107*$B140*$K$103),(($B140/120)*48*144*10000000*$J$4*IF('Span Table '!$T$5="Yes",2,1)*2)/(I$107*$B140^3*$K$103)),0)</f>
        <v>39</v>
      </c>
      <c r="J140" s="14">
        <f>ROUNDUP(+MIN((15000*8*$J$6*IF('Span Table '!$T$5="Yes",2,1)*144)/(J$107*$B140*$K$103),(($B140/120)*48*144*10000000*$J$4*IF('Span Table '!$T$5="Yes",2,1)*2)/(J$107*$B140^3*$K$103)),0)</f>
        <v>38</v>
      </c>
      <c r="K140" s="18">
        <f t="shared" si="17"/>
        <v>35.857685009487675</v>
      </c>
      <c r="L140" s="1"/>
      <c r="M140" s="37"/>
      <c r="N140" s="37"/>
      <c r="O140" s="37"/>
    </row>
    <row r="141" spans="1:15" ht="15.75" customHeight="1" thickBot="1" x14ac:dyDescent="0.3">
      <c r="A141" s="1"/>
      <c r="B141" s="32">
        <f>+B142+6</f>
        <v>102</v>
      </c>
      <c r="C141" s="14">
        <f>ROUNDUP(+MIN((15000*8*$J$6*IF('Span Table '!$T$5="Yes",2,1)*144)/(C$107*$B141*$K$103),(($B141/120)*48*144*10000000*$J$4*IF('Span Table '!$T$5="Yes",2,1)*2)/(C$107*$B141^3*$K$103)),0)</f>
        <v>54</v>
      </c>
      <c r="D141" s="14">
        <f>ROUNDUP(+MIN((15000*8*$J$6*IF('Span Table '!$T$5="Yes",2,1)*144)/(D$107*$B141*$K$103),(($B141/120)*48*144*10000000*$J$4*IF('Span Table '!$T$5="Yes",2,1)*2)/(D$107*$B141^3*$K$103)),0)</f>
        <v>51</v>
      </c>
      <c r="E141" s="14">
        <f>ROUNDUP(+MIN((15000*8*$J$6*IF('Span Table '!$T$5="Yes",2,1)*144)/(E$107*$B141*$K$103),(($B141/120)*48*144*10000000*$J$4*IF('Span Table '!$T$5="Yes",2,1)*2)/(E$107*$B141^3*$K$103)),0)</f>
        <v>49</v>
      </c>
      <c r="F141" s="14">
        <f>ROUNDUP(+MIN((15000*8*$J$6*IF('Span Table '!$T$5="Yes",2,1)*144)/(F$107*$B141*$K$103),(($B141/120)*48*144*10000000*$J$4*IF('Span Table '!$T$5="Yes",2,1)*2)/(F$107*$B141^3*$K$103)),0)</f>
        <v>47</v>
      </c>
      <c r="G141" s="14">
        <f>ROUNDUP(+MIN((15000*8*$J$6*IF('Span Table '!$T$5="Yes",2,1)*144)/(G$107*$B141*$K$103),(($B141/120)*48*144*10000000*$J$4*IF('Span Table '!$T$5="Yes",2,1)*2)/(G$107*$B141^3*$K$103)),0)</f>
        <v>45</v>
      </c>
      <c r="H141" s="14">
        <f>ROUNDUP(+MIN((15000*8*$J$6*IF('Span Table '!$T$5="Yes",2,1)*144)/(H$107*$B141*$K$103),(($B141/120)*48*144*10000000*$J$4*IF('Span Table '!$T$5="Yes",2,1)*2)/(H$107*$B141^3*$K$103)),0)</f>
        <v>43</v>
      </c>
      <c r="I141" s="14">
        <f>ROUNDUP(+MIN((15000*8*$J$6*IF('Span Table '!$T$5="Yes",2,1)*144)/(I$107*$B141*$K$103),(($B141/120)*48*144*10000000*$J$4*IF('Span Table '!$T$5="Yes",2,1)*2)/(I$107*$B141^3*$K$103)),0)</f>
        <v>41</v>
      </c>
      <c r="J141" s="14">
        <f>ROUNDUP(+MIN((15000*8*$J$6*IF('Span Table '!$T$5="Yes",2,1)*144)/(J$107*$B141*$K$103),(($B141/120)*48*144*10000000*$J$4*IF('Span Table '!$T$5="Yes",2,1)*2)/(J$107*$B141^3*$K$103)),0)</f>
        <v>40</v>
      </c>
      <c r="K141" s="18">
        <f t="shared" si="17"/>
        <v>37.966960598281062</v>
      </c>
      <c r="L141" s="1"/>
      <c r="M141" s="37"/>
      <c r="N141" s="37"/>
      <c r="O141" s="37"/>
    </row>
    <row r="142" spans="1:15" ht="15.75" customHeight="1" thickBot="1" x14ac:dyDescent="0.3">
      <c r="A142" s="1"/>
      <c r="B142" s="33">
        <v>96</v>
      </c>
      <c r="C142" s="14">
        <f>ROUNDUP(+MIN((15000*8*$J$6*IF('Span Table '!$T$5="Yes",2,1)*144)/(C$107*$B142*$K$103),(($B142/120)*48*144*10000000*$J$4*IF('Span Table '!$T$5="Yes",2,1)*2)/(C$107*$B142^3*$K$103)),0)</f>
        <v>57</v>
      </c>
      <c r="D142" s="14">
        <f>ROUNDUP(+MIN((15000*8*$J$6*IF('Span Table '!$T$5="Yes",2,1)*144)/(D$107*$B142*$K$103),(($B142/120)*48*144*10000000*$J$4*IF('Span Table '!$T$5="Yes",2,1)*2)/(D$107*$B142^3*$K$103)),0)</f>
        <v>55</v>
      </c>
      <c r="E142" s="14">
        <f>ROUNDUP(+MIN((15000*8*$J$6*IF('Span Table '!$T$5="Yes",2,1)*144)/(E$107*$B142*$K$103),(($B142/120)*48*144*10000000*$J$4*IF('Span Table '!$T$5="Yes",2,1)*2)/(E$107*$B142^3*$K$103)),0)</f>
        <v>52</v>
      </c>
      <c r="F142" s="14">
        <f>ROUNDUP(+MIN((15000*8*$J$6*IF('Span Table '!$T$5="Yes",2,1)*144)/(F$107*$B142*$K$103),(($B142/120)*48*144*10000000*$J$4*IF('Span Table '!$T$5="Yes",2,1)*2)/(F$107*$B142^3*$K$103)),0)</f>
        <v>50</v>
      </c>
      <c r="G142" s="14">
        <f>ROUNDUP(+MIN((15000*8*$J$6*IF('Span Table '!$T$5="Yes",2,1)*144)/(G$107*$B142*$K$103),(($B142/120)*48*144*10000000*$J$4*IF('Span Table '!$T$5="Yes",2,1)*2)/(G$107*$B142^3*$K$103)),0)</f>
        <v>48</v>
      </c>
      <c r="H142" s="14">
        <f>ROUNDUP(+MIN((15000*8*$J$6*IF('Span Table '!$T$5="Yes",2,1)*144)/(H$107*$B142*$K$103),(($B142/120)*48*144*10000000*$J$4*IF('Span Table '!$T$5="Yes",2,1)*2)/(H$107*$B142^3*$K$103)),0)</f>
        <v>46</v>
      </c>
      <c r="I142" s="14">
        <f>ROUNDUP(+MIN((15000*8*$J$6*IF('Span Table '!$T$5="Yes",2,1)*144)/(I$107*$B142*$K$103),(($B142/120)*48*144*10000000*$J$4*IF('Span Table '!$T$5="Yes",2,1)*2)/(I$107*$B142^3*$K$103)),0)</f>
        <v>44</v>
      </c>
      <c r="J142" s="14">
        <f>ROUNDUP(+MIN((15000*8*$J$6*IF('Span Table '!$T$5="Yes",2,1)*144)/(J$107*$B142*$K$103),(($B142/120)*48*144*10000000*$J$4*IF('Span Table '!$T$5="Yes",2,1)*2)/(J$107*$B142^3*$K$103)),0)</f>
        <v>42</v>
      </c>
      <c r="K142" s="21">
        <f t="shared" si="17"/>
        <v>40.339895635673628</v>
      </c>
      <c r="L142" s="1"/>
      <c r="M142" s="37"/>
      <c r="N142" s="37"/>
      <c r="O142" s="37"/>
    </row>
    <row r="143" spans="1:15" ht="15.75" customHeight="1" x14ac:dyDescent="0.25">
      <c r="A143" s="1"/>
      <c r="B143" s="1"/>
      <c r="C143" s="1"/>
      <c r="D143" s="1"/>
      <c r="E143" s="1"/>
      <c r="F143" s="1"/>
      <c r="G143" s="1"/>
      <c r="H143" s="1"/>
      <c r="I143" s="1"/>
      <c r="J143" s="1"/>
      <c r="K143" s="1"/>
      <c r="L143" s="1"/>
      <c r="M143" s="37"/>
      <c r="N143" s="37"/>
      <c r="O143" s="37"/>
    </row>
    <row r="144" spans="1:15" ht="15.75" customHeight="1" x14ac:dyDescent="0.25">
      <c r="A144" s="1"/>
      <c r="B144" s="1"/>
      <c r="C144" s="1"/>
      <c r="D144" s="1"/>
      <c r="E144" s="1"/>
      <c r="F144" s="1"/>
      <c r="G144" s="1"/>
      <c r="H144" s="1"/>
      <c r="I144" s="1"/>
      <c r="J144" s="1"/>
      <c r="K144" s="1"/>
      <c r="L144" s="1"/>
      <c r="M144" s="37"/>
      <c r="N144" s="37"/>
      <c r="O144" s="37"/>
    </row>
    <row r="145" spans="1:15" s="53" customFormat="1" ht="15.75" customHeight="1" x14ac:dyDescent="0.25">
      <c r="A145" s="37"/>
      <c r="B145" s="37"/>
      <c r="C145" s="37"/>
      <c r="D145" s="37"/>
      <c r="E145" s="37"/>
      <c r="F145" s="37"/>
      <c r="G145" s="37"/>
      <c r="H145" s="37"/>
      <c r="I145" s="37"/>
      <c r="J145" s="37"/>
      <c r="K145" s="37"/>
      <c r="L145" s="37"/>
      <c r="M145" s="37"/>
      <c r="N145" s="37"/>
      <c r="O145" s="37"/>
    </row>
    <row r="146" spans="1:15" s="53" customFormat="1" ht="15.75" customHeight="1" x14ac:dyDescent="0.25">
      <c r="A146" s="37"/>
      <c r="B146" s="37"/>
      <c r="C146" s="37"/>
      <c r="D146" s="37"/>
      <c r="E146" s="37"/>
      <c r="F146" s="37"/>
      <c r="G146" s="37"/>
      <c r="H146" s="37"/>
      <c r="I146" s="37"/>
      <c r="J146" s="37"/>
      <c r="K146" s="37"/>
      <c r="L146" s="37"/>
      <c r="M146" s="37"/>
      <c r="N146" s="37"/>
      <c r="O146" s="37"/>
    </row>
    <row r="147" spans="1:15" s="53" customFormat="1" ht="15.75" customHeight="1" x14ac:dyDescent="0.25">
      <c r="A147" s="37"/>
      <c r="B147" s="37"/>
      <c r="C147" s="37"/>
      <c r="D147" s="37"/>
      <c r="E147" s="37"/>
      <c r="F147" s="37"/>
      <c r="G147" s="37"/>
      <c r="H147" s="37"/>
      <c r="I147" s="37"/>
      <c r="J147" s="37"/>
      <c r="K147" s="37"/>
      <c r="L147" s="37"/>
      <c r="M147" s="37"/>
      <c r="N147" s="37"/>
      <c r="O147" s="37"/>
    </row>
    <row r="148" spans="1:15" s="53" customFormat="1" ht="15.75" customHeight="1" x14ac:dyDescent="0.25">
      <c r="A148" s="37"/>
      <c r="B148" s="37"/>
      <c r="C148" s="37"/>
      <c r="D148" s="37"/>
      <c r="E148" s="37"/>
      <c r="F148" s="37"/>
      <c r="G148" s="37"/>
      <c r="H148" s="37"/>
      <c r="I148" s="37"/>
      <c r="J148" s="37"/>
      <c r="K148" s="37"/>
      <c r="L148" s="37"/>
      <c r="M148" s="37"/>
      <c r="N148" s="37"/>
      <c r="O148" s="37"/>
    </row>
    <row r="149" spans="1:15" s="53" customFormat="1" ht="15.75" customHeight="1" x14ac:dyDescent="0.25">
      <c r="A149" s="37"/>
      <c r="B149" s="37"/>
      <c r="C149" s="37"/>
      <c r="D149" s="37"/>
      <c r="E149" s="37"/>
      <c r="F149" s="37"/>
      <c r="G149" s="37"/>
      <c r="H149" s="37"/>
      <c r="I149" s="37"/>
      <c r="J149" s="37"/>
      <c r="K149" s="37"/>
      <c r="L149" s="37"/>
      <c r="M149" s="37"/>
      <c r="N149" s="37"/>
      <c r="O149" s="37"/>
    </row>
    <row r="150" spans="1:15" s="53" customFormat="1" ht="15.75" customHeight="1" x14ac:dyDescent="0.25">
      <c r="A150" s="37"/>
      <c r="B150" s="37"/>
      <c r="C150" s="37"/>
      <c r="D150" s="37"/>
      <c r="E150" s="37"/>
      <c r="F150" s="37"/>
      <c r="G150" s="37"/>
      <c r="H150" s="37"/>
      <c r="I150" s="37"/>
      <c r="J150" s="37"/>
      <c r="K150" s="37"/>
      <c r="L150" s="37"/>
      <c r="M150" s="37"/>
      <c r="N150" s="37"/>
      <c r="O150" s="37"/>
    </row>
    <row r="151" spans="1:15" s="53" customFormat="1" ht="15.75" customHeight="1" x14ac:dyDescent="0.25">
      <c r="A151" s="37"/>
      <c r="B151" s="37"/>
      <c r="C151" s="37"/>
      <c r="D151" s="37"/>
      <c r="E151" s="37"/>
      <c r="F151" s="37"/>
      <c r="G151" s="37"/>
      <c r="H151" s="37"/>
      <c r="I151" s="37"/>
      <c r="J151" s="37"/>
      <c r="K151" s="37"/>
      <c r="L151" s="37"/>
      <c r="M151" s="37"/>
      <c r="N151" s="37"/>
      <c r="O151" s="37"/>
    </row>
    <row r="152" spans="1:15" s="53" customFormat="1" ht="15.75" customHeight="1" x14ac:dyDescent="0.25">
      <c r="A152" s="37"/>
      <c r="B152" s="37"/>
      <c r="C152" s="37"/>
      <c r="D152" s="37"/>
      <c r="E152" s="37"/>
      <c r="F152" s="37"/>
      <c r="G152" s="37"/>
      <c r="H152" s="37"/>
      <c r="I152" s="37"/>
      <c r="J152" s="37"/>
      <c r="K152" s="37"/>
      <c r="L152" s="37"/>
      <c r="M152" s="37"/>
      <c r="N152" s="37"/>
      <c r="O152" s="37"/>
    </row>
    <row r="153" spans="1:15" s="53" customFormat="1" ht="15.75" customHeight="1" x14ac:dyDescent="0.25">
      <c r="A153" s="37"/>
      <c r="B153" s="37"/>
      <c r="C153" s="37"/>
      <c r="D153" s="37"/>
      <c r="E153" s="37"/>
      <c r="F153" s="37"/>
      <c r="G153" s="37"/>
      <c r="H153" s="37"/>
      <c r="I153" s="37"/>
      <c r="J153" s="37"/>
      <c r="K153" s="37"/>
      <c r="L153" s="37"/>
      <c r="M153" s="37"/>
      <c r="N153" s="37"/>
      <c r="O153" s="37"/>
    </row>
    <row r="154" spans="1:15" s="53" customFormat="1" ht="15.75" customHeight="1" x14ac:dyDescent="0.25">
      <c r="A154" s="37"/>
      <c r="B154" s="37"/>
      <c r="C154" s="37"/>
      <c r="D154" s="37"/>
      <c r="E154" s="37"/>
      <c r="F154" s="37"/>
      <c r="G154" s="37"/>
      <c r="H154" s="37"/>
      <c r="I154" s="37"/>
      <c r="J154" s="37"/>
      <c r="K154" s="37"/>
      <c r="L154" s="37"/>
      <c r="M154" s="37"/>
      <c r="N154" s="37"/>
      <c r="O154" s="37"/>
    </row>
    <row r="155" spans="1:15" s="53" customFormat="1" ht="15.75" customHeight="1" x14ac:dyDescent="0.25">
      <c r="A155" s="37"/>
      <c r="B155" s="37"/>
      <c r="C155" s="37"/>
      <c r="D155" s="37"/>
      <c r="E155" s="37"/>
      <c r="F155" s="37"/>
      <c r="G155" s="37"/>
      <c r="H155" s="37"/>
      <c r="I155" s="37"/>
      <c r="J155" s="37"/>
      <c r="K155" s="37"/>
      <c r="L155" s="37"/>
      <c r="M155" s="37"/>
      <c r="N155" s="37"/>
      <c r="O155" s="37"/>
    </row>
    <row r="156" spans="1:15" s="53" customFormat="1" ht="15.75" customHeight="1" x14ac:dyDescent="0.25">
      <c r="A156" s="37"/>
      <c r="B156" s="37"/>
      <c r="C156" s="37"/>
      <c r="D156" s="37"/>
      <c r="E156" s="37"/>
      <c r="F156" s="37"/>
      <c r="G156" s="37"/>
      <c r="H156" s="37"/>
      <c r="I156" s="37"/>
      <c r="J156" s="37"/>
      <c r="K156" s="37"/>
      <c r="L156" s="37"/>
      <c r="M156" s="37"/>
      <c r="N156" s="37"/>
      <c r="O156" s="37"/>
    </row>
    <row r="157" spans="1:15" s="53" customFormat="1" ht="15.75" customHeight="1" x14ac:dyDescent="0.25">
      <c r="A157" s="37"/>
      <c r="B157" s="37"/>
      <c r="C157" s="37"/>
      <c r="D157" s="37"/>
      <c r="E157" s="37"/>
      <c r="F157" s="37"/>
      <c r="G157" s="37"/>
      <c r="H157" s="37"/>
      <c r="I157" s="37"/>
      <c r="J157" s="37"/>
      <c r="K157" s="37"/>
      <c r="L157" s="37"/>
      <c r="M157" s="37"/>
      <c r="N157" s="37"/>
      <c r="O157" s="37"/>
    </row>
    <row r="158" spans="1:15" s="53" customFormat="1" ht="15.75" customHeight="1" x14ac:dyDescent="0.25">
      <c r="A158" s="37"/>
      <c r="B158" s="37"/>
      <c r="C158" s="37"/>
      <c r="D158" s="37"/>
      <c r="E158" s="37"/>
      <c r="F158" s="37"/>
      <c r="G158" s="37"/>
      <c r="H158" s="37"/>
      <c r="I158" s="37"/>
      <c r="J158" s="37"/>
      <c r="K158" s="37"/>
      <c r="L158" s="37"/>
      <c r="M158" s="37"/>
      <c r="N158" s="37"/>
      <c r="O158" s="37"/>
    </row>
    <row r="159" spans="1:15" s="53" customFormat="1" ht="15.75" customHeight="1" x14ac:dyDescent="0.25">
      <c r="A159" s="37"/>
      <c r="B159" s="37"/>
      <c r="C159" s="37"/>
      <c r="D159" s="37"/>
      <c r="E159" s="37"/>
      <c r="F159" s="37"/>
      <c r="G159" s="37"/>
      <c r="H159" s="37"/>
      <c r="I159" s="37"/>
      <c r="J159" s="37"/>
      <c r="K159" s="37"/>
      <c r="L159" s="37"/>
      <c r="M159" s="37"/>
      <c r="N159" s="37"/>
      <c r="O159" s="37"/>
    </row>
    <row r="160" spans="1:15" s="53" customFormat="1" ht="15.75" customHeight="1" x14ac:dyDescent="0.25">
      <c r="A160" s="37"/>
      <c r="B160" s="37"/>
      <c r="C160" s="37"/>
      <c r="D160" s="37"/>
      <c r="E160" s="37"/>
      <c r="F160" s="37"/>
      <c r="G160" s="37"/>
      <c r="H160" s="37"/>
      <c r="I160" s="37"/>
      <c r="J160" s="37"/>
      <c r="K160" s="37"/>
      <c r="L160" s="37"/>
      <c r="M160" s="37"/>
      <c r="N160" s="37"/>
      <c r="O160" s="37"/>
    </row>
    <row r="161" spans="1:15" s="53" customFormat="1" ht="15.75" customHeight="1" x14ac:dyDescent="0.25">
      <c r="A161" s="37"/>
      <c r="B161" s="37"/>
      <c r="C161" s="37"/>
      <c r="D161" s="37"/>
      <c r="E161" s="37"/>
      <c r="F161" s="37"/>
      <c r="G161" s="37"/>
      <c r="H161" s="37"/>
      <c r="I161" s="37"/>
      <c r="J161" s="37"/>
      <c r="K161" s="37"/>
      <c r="L161" s="37"/>
      <c r="M161" s="37"/>
      <c r="N161" s="37"/>
      <c r="O161" s="37"/>
    </row>
    <row r="162" spans="1:15" s="53" customFormat="1" ht="15.75" customHeight="1" x14ac:dyDescent="0.25">
      <c r="A162" s="37"/>
      <c r="B162" s="37"/>
      <c r="C162" s="37"/>
      <c r="D162" s="37"/>
      <c r="E162" s="37"/>
      <c r="F162" s="37"/>
      <c r="G162" s="37"/>
      <c r="H162" s="37"/>
      <c r="I162" s="37"/>
      <c r="J162" s="37"/>
      <c r="K162" s="37"/>
      <c r="L162" s="37"/>
      <c r="M162" s="37"/>
      <c r="N162" s="37"/>
      <c r="O162" s="37"/>
    </row>
    <row r="163" spans="1:15" s="53" customFormat="1" ht="15.75" customHeight="1" x14ac:dyDescent="0.25">
      <c r="A163" s="37"/>
      <c r="B163" s="37"/>
      <c r="C163" s="37"/>
      <c r="D163" s="37"/>
      <c r="E163" s="37"/>
      <c r="F163" s="37"/>
      <c r="G163" s="37"/>
      <c r="H163" s="37"/>
      <c r="I163" s="37"/>
      <c r="J163" s="37"/>
      <c r="K163" s="37"/>
      <c r="L163" s="37"/>
      <c r="M163" s="37"/>
      <c r="N163" s="37"/>
      <c r="O163" s="37"/>
    </row>
    <row r="164" spans="1:15" s="53" customFormat="1" ht="15.75" customHeight="1" x14ac:dyDescent="0.25">
      <c r="A164" s="37"/>
      <c r="B164" s="37"/>
      <c r="C164" s="37"/>
      <c r="D164" s="37"/>
      <c r="E164" s="37"/>
      <c r="F164" s="37"/>
      <c r="G164" s="37"/>
      <c r="H164" s="37"/>
      <c r="I164" s="37"/>
      <c r="J164" s="37"/>
      <c r="K164" s="37"/>
      <c r="L164" s="37"/>
      <c r="M164" s="37"/>
      <c r="N164" s="37"/>
      <c r="O164" s="37"/>
    </row>
    <row r="165" spans="1:15" s="53" customFormat="1" ht="15.75" customHeight="1" x14ac:dyDescent="0.25">
      <c r="A165" s="37"/>
      <c r="B165" s="37"/>
      <c r="C165" s="37"/>
      <c r="D165" s="37"/>
      <c r="E165" s="37"/>
      <c r="F165" s="37"/>
      <c r="G165" s="37"/>
      <c r="H165" s="37"/>
      <c r="I165" s="37"/>
      <c r="J165" s="37"/>
      <c r="K165" s="37"/>
      <c r="L165" s="37"/>
      <c r="M165" s="37"/>
      <c r="N165" s="37"/>
      <c r="O165" s="37"/>
    </row>
    <row r="166" spans="1:15" s="53" customFormat="1" ht="15.75" customHeight="1" x14ac:dyDescent="0.25">
      <c r="A166" s="37"/>
      <c r="B166" s="37"/>
      <c r="C166" s="37"/>
      <c r="D166" s="37"/>
      <c r="E166" s="37"/>
      <c r="F166" s="37"/>
      <c r="G166" s="37"/>
      <c r="H166" s="37"/>
      <c r="I166" s="37"/>
      <c r="J166" s="37"/>
      <c r="K166" s="37"/>
      <c r="L166" s="37"/>
      <c r="M166" s="37"/>
      <c r="N166" s="37"/>
      <c r="O166" s="37"/>
    </row>
    <row r="167" spans="1:15" s="53" customFormat="1" ht="15.75" customHeight="1" x14ac:dyDescent="0.25">
      <c r="A167" s="37"/>
      <c r="B167" s="37"/>
      <c r="C167" s="37"/>
      <c r="D167" s="37"/>
      <c r="E167" s="37"/>
      <c r="F167" s="37"/>
      <c r="G167" s="37"/>
      <c r="H167" s="37"/>
      <c r="I167" s="37"/>
      <c r="J167" s="37"/>
      <c r="K167" s="37"/>
      <c r="L167" s="37"/>
      <c r="M167" s="37"/>
      <c r="N167" s="37"/>
      <c r="O167" s="37"/>
    </row>
    <row r="168" spans="1:15" s="53" customFormat="1" ht="15.75" customHeight="1" x14ac:dyDescent="0.25">
      <c r="A168" s="37"/>
      <c r="B168" s="37"/>
      <c r="C168" s="37"/>
      <c r="D168" s="37"/>
      <c r="E168" s="37"/>
      <c r="F168" s="37"/>
      <c r="G168" s="37"/>
      <c r="H168" s="37"/>
      <c r="I168" s="37"/>
      <c r="J168" s="37"/>
      <c r="K168" s="37"/>
      <c r="L168" s="37"/>
      <c r="M168" s="37"/>
      <c r="N168" s="37"/>
      <c r="O168" s="37"/>
    </row>
    <row r="169" spans="1:15" s="53" customFormat="1" ht="15.75" customHeight="1" x14ac:dyDescent="0.25">
      <c r="A169" s="37"/>
      <c r="B169" s="37"/>
      <c r="C169" s="37"/>
      <c r="D169" s="37"/>
      <c r="E169" s="37"/>
      <c r="F169" s="37"/>
      <c r="G169" s="37"/>
      <c r="H169" s="37"/>
      <c r="I169" s="37"/>
      <c r="J169" s="37"/>
      <c r="K169" s="37"/>
      <c r="L169" s="37"/>
      <c r="M169" s="37"/>
      <c r="N169" s="37"/>
      <c r="O169" s="37"/>
    </row>
    <row r="170" spans="1:15" s="53" customFormat="1" ht="15.75" customHeight="1" x14ac:dyDescent="0.25">
      <c r="A170" s="37"/>
      <c r="B170" s="37"/>
      <c r="C170" s="37"/>
      <c r="D170" s="37"/>
      <c r="E170" s="37"/>
      <c r="F170" s="37"/>
      <c r="G170" s="37"/>
      <c r="H170" s="37"/>
      <c r="I170" s="37"/>
      <c r="J170" s="37"/>
      <c r="K170" s="37"/>
      <c r="L170" s="37"/>
      <c r="M170" s="37"/>
      <c r="N170" s="37"/>
      <c r="O170" s="37"/>
    </row>
    <row r="171" spans="1:15" s="53" customFormat="1" ht="15.75" customHeight="1" x14ac:dyDescent="0.25">
      <c r="A171" s="37"/>
      <c r="B171" s="37"/>
      <c r="C171" s="37"/>
      <c r="D171" s="37"/>
      <c r="E171" s="37"/>
      <c r="F171" s="37"/>
      <c r="G171" s="37"/>
      <c r="H171" s="37"/>
      <c r="I171" s="37"/>
      <c r="J171" s="37"/>
      <c r="K171" s="37"/>
      <c r="L171" s="37"/>
      <c r="M171" s="37"/>
      <c r="N171" s="37"/>
      <c r="O171" s="37"/>
    </row>
    <row r="172" spans="1:15" s="53" customFormat="1" ht="15.75" customHeight="1" x14ac:dyDescent="0.25"/>
    <row r="173" spans="1:15" s="53" customFormat="1" ht="15.75" customHeight="1" x14ac:dyDescent="0.25"/>
    <row r="174" spans="1:15" s="53" customFormat="1" ht="15.75" customHeight="1" x14ac:dyDescent="0.25"/>
    <row r="175" spans="1:15" s="53" customFormat="1" ht="15.75" customHeight="1" x14ac:dyDescent="0.25"/>
    <row r="176" spans="1:15" s="53" customFormat="1" x14ac:dyDescent="0.25"/>
    <row r="177" s="53" customFormat="1" x14ac:dyDescent="0.25"/>
    <row r="178" s="53" customFormat="1" x14ac:dyDescent="0.25"/>
    <row r="179" s="53" customFormat="1" x14ac:dyDescent="0.25"/>
    <row r="180" s="53" customFormat="1" x14ac:dyDescent="0.25"/>
    <row r="181" s="53" customFormat="1" x14ac:dyDescent="0.25"/>
    <row r="182" s="53" customFormat="1" x14ac:dyDescent="0.25"/>
    <row r="183" s="53" customFormat="1" x14ac:dyDescent="0.25"/>
    <row r="184" s="53" customFormat="1" x14ac:dyDescent="0.25"/>
    <row r="185" s="53" customFormat="1" x14ac:dyDescent="0.25"/>
    <row r="186" s="53" customFormat="1" x14ac:dyDescent="0.25"/>
    <row r="187" s="53" customFormat="1" x14ac:dyDescent="0.25"/>
    <row r="188" s="53" customFormat="1" x14ac:dyDescent="0.25"/>
    <row r="189" s="53" customFormat="1" x14ac:dyDescent="0.25"/>
    <row r="190" s="53" customFormat="1" x14ac:dyDescent="0.25"/>
    <row r="191" s="53" customFormat="1" x14ac:dyDescent="0.25"/>
    <row r="192" s="53" customFormat="1" x14ac:dyDescent="0.25"/>
    <row r="193" s="53" customFormat="1" x14ac:dyDescent="0.25"/>
    <row r="194" s="53" customFormat="1" x14ac:dyDescent="0.25"/>
    <row r="195" s="53" customFormat="1" x14ac:dyDescent="0.25"/>
    <row r="196" s="53" customFormat="1" x14ac:dyDescent="0.25"/>
    <row r="197" s="53" customFormat="1" x14ac:dyDescent="0.25"/>
    <row r="198" s="53" customFormat="1" x14ac:dyDescent="0.25"/>
    <row r="199" s="53" customFormat="1" x14ac:dyDescent="0.25"/>
    <row r="200" s="53" customFormat="1" x14ac:dyDescent="0.25"/>
    <row r="201" s="53" customFormat="1" x14ac:dyDescent="0.25"/>
    <row r="202" s="53" customFormat="1" x14ac:dyDescent="0.25"/>
    <row r="203" s="53" customFormat="1" x14ac:dyDescent="0.25"/>
    <row r="204" s="53" customFormat="1" x14ac:dyDescent="0.25"/>
    <row r="205" s="53" customFormat="1" x14ac:dyDescent="0.25"/>
    <row r="206" s="53" customFormat="1" x14ac:dyDescent="0.25"/>
    <row r="207" s="53" customFormat="1" x14ac:dyDescent="0.25"/>
    <row r="208" s="53" customFormat="1" x14ac:dyDescent="0.25"/>
    <row r="209" s="53" customFormat="1" x14ac:dyDescent="0.25"/>
    <row r="210" s="53" customFormat="1" x14ac:dyDescent="0.25"/>
    <row r="211" s="53" customFormat="1" x14ac:dyDescent="0.25"/>
    <row r="212" s="53" customFormat="1" x14ac:dyDescent="0.25"/>
    <row r="213" s="53" customFormat="1" x14ac:dyDescent="0.25"/>
    <row r="214" s="53" customFormat="1" x14ac:dyDescent="0.25"/>
    <row r="215" s="53" customFormat="1" x14ac:dyDescent="0.25"/>
    <row r="216" s="53" customFormat="1" x14ac:dyDescent="0.25"/>
    <row r="217" s="53" customFormat="1" x14ac:dyDescent="0.25"/>
    <row r="218" s="53" customFormat="1" x14ac:dyDescent="0.25"/>
    <row r="219" s="53" customFormat="1" x14ac:dyDescent="0.25"/>
    <row r="220" s="53" customFormat="1" x14ac:dyDescent="0.25"/>
    <row r="221" s="53" customFormat="1" x14ac:dyDescent="0.25"/>
    <row r="222" s="53" customFormat="1" x14ac:dyDescent="0.25"/>
    <row r="223" s="53" customFormat="1" x14ac:dyDescent="0.25"/>
    <row r="224" s="53" customFormat="1" x14ac:dyDescent="0.25"/>
    <row r="225" s="53" customFormat="1" x14ac:dyDescent="0.25"/>
    <row r="226" s="53" customFormat="1" x14ac:dyDescent="0.25"/>
    <row r="227" s="53" customFormat="1" x14ac:dyDescent="0.25"/>
    <row r="228" s="53" customFormat="1" x14ac:dyDescent="0.25"/>
    <row r="229" s="53" customFormat="1" x14ac:dyDescent="0.25"/>
    <row r="230" s="53" customFormat="1" x14ac:dyDescent="0.25"/>
    <row r="231" s="53" customFormat="1" x14ac:dyDescent="0.25"/>
    <row r="232" s="53" customFormat="1" x14ac:dyDescent="0.25"/>
    <row r="233" s="53" customFormat="1" x14ac:dyDescent="0.25"/>
    <row r="234" s="53" customFormat="1" x14ac:dyDescent="0.25"/>
    <row r="235" s="53" customFormat="1" x14ac:dyDescent="0.25"/>
    <row r="236" s="53" customFormat="1" x14ac:dyDescent="0.25"/>
    <row r="237" s="53" customFormat="1" x14ac:dyDescent="0.25"/>
    <row r="238" s="53" customFormat="1" x14ac:dyDescent="0.25"/>
    <row r="239" s="53" customFormat="1" x14ac:dyDescent="0.25"/>
    <row r="240" s="53" customFormat="1" x14ac:dyDescent="0.25"/>
    <row r="241" s="53" customFormat="1" x14ac:dyDescent="0.25"/>
    <row r="242" s="53" customFormat="1" x14ac:dyDescent="0.25"/>
    <row r="243" s="53" customFormat="1" x14ac:dyDescent="0.25"/>
    <row r="244" s="53" customFormat="1" x14ac:dyDescent="0.25"/>
    <row r="245" s="53" customFormat="1" x14ac:dyDescent="0.25"/>
    <row r="246" s="53" customFormat="1" x14ac:dyDescent="0.25"/>
    <row r="247" s="53" customFormat="1" x14ac:dyDescent="0.25"/>
    <row r="248" s="53" customFormat="1" x14ac:dyDescent="0.25"/>
    <row r="249" s="53" customFormat="1" x14ac:dyDescent="0.25"/>
    <row r="250" s="53" customFormat="1" x14ac:dyDescent="0.25"/>
    <row r="251" s="53" customFormat="1" x14ac:dyDescent="0.25"/>
    <row r="252" s="53" customFormat="1" x14ac:dyDescent="0.25"/>
    <row r="253" s="53" customFormat="1" x14ac:dyDescent="0.25"/>
    <row r="254" s="53" customFormat="1" x14ac:dyDescent="0.25"/>
    <row r="255" s="53" customFormat="1" x14ac:dyDescent="0.25"/>
    <row r="256" s="53" customFormat="1" x14ac:dyDescent="0.25"/>
    <row r="257" s="53" customFormat="1" x14ac:dyDescent="0.25"/>
    <row r="258" s="53" customFormat="1" x14ac:dyDescent="0.25"/>
    <row r="259" s="53" customFormat="1" x14ac:dyDescent="0.25"/>
    <row r="260" s="53" customFormat="1" x14ac:dyDescent="0.25"/>
    <row r="261" s="53" customFormat="1" x14ac:dyDescent="0.25"/>
    <row r="262" s="53" customFormat="1" x14ac:dyDescent="0.25"/>
    <row r="263" s="53" customFormat="1" x14ac:dyDescent="0.25"/>
    <row r="264" s="53" customFormat="1" x14ac:dyDescent="0.25"/>
    <row r="265" s="53" customFormat="1" x14ac:dyDescent="0.25"/>
    <row r="266" s="53" customFormat="1" x14ac:dyDescent="0.25"/>
    <row r="267" s="53" customFormat="1" x14ac:dyDescent="0.25"/>
    <row r="268" s="53" customFormat="1" x14ac:dyDescent="0.25"/>
    <row r="269" s="53" customFormat="1" x14ac:dyDescent="0.25"/>
    <row r="270" s="53" customFormat="1" x14ac:dyDescent="0.25"/>
    <row r="271" s="53" customFormat="1" x14ac:dyDescent="0.25"/>
    <row r="272" s="53" customFormat="1" x14ac:dyDescent="0.25"/>
    <row r="273" s="53" customFormat="1" x14ac:dyDescent="0.25"/>
    <row r="274" s="53" customFormat="1" x14ac:dyDescent="0.25"/>
    <row r="275" s="53" customFormat="1" x14ac:dyDescent="0.25"/>
    <row r="276" s="53" customFormat="1" x14ac:dyDescent="0.25"/>
    <row r="277" s="53" customFormat="1" x14ac:dyDescent="0.25"/>
    <row r="278" s="53" customFormat="1" x14ac:dyDescent="0.25"/>
    <row r="279" s="53" customFormat="1" x14ac:dyDescent="0.25"/>
    <row r="280" s="53" customFormat="1" x14ac:dyDescent="0.25"/>
    <row r="281" s="53" customFormat="1" x14ac:dyDescent="0.25"/>
    <row r="282" s="53" customFormat="1" x14ac:dyDescent="0.25"/>
    <row r="283" s="53" customFormat="1" x14ac:dyDescent="0.25"/>
    <row r="284" s="53" customFormat="1" x14ac:dyDescent="0.25"/>
    <row r="285" s="53" customFormat="1" x14ac:dyDescent="0.25"/>
    <row r="286" s="53" customFormat="1" x14ac:dyDescent="0.25"/>
    <row r="287" s="53" customFormat="1" x14ac:dyDescent="0.25"/>
    <row r="288" s="53" customFormat="1" x14ac:dyDescent="0.25"/>
    <row r="289" s="53" customFormat="1" x14ac:dyDescent="0.25"/>
    <row r="290" s="53" customFormat="1" x14ac:dyDescent="0.25"/>
    <row r="291" s="53" customFormat="1" x14ac:dyDescent="0.25"/>
    <row r="292" s="53" customFormat="1" x14ac:dyDescent="0.25"/>
    <row r="293" s="53" customFormat="1" x14ac:dyDescent="0.25"/>
    <row r="294" s="53" customFormat="1" x14ac:dyDescent="0.25"/>
    <row r="295" s="53" customFormat="1" x14ac:dyDescent="0.25"/>
    <row r="296" s="53" customFormat="1" x14ac:dyDescent="0.25"/>
    <row r="297" s="53" customFormat="1" x14ac:dyDescent="0.25"/>
    <row r="298" s="53" customFormat="1" x14ac:dyDescent="0.25"/>
    <row r="299" s="53" customFormat="1" x14ac:dyDescent="0.25"/>
    <row r="300" s="53" customFormat="1" x14ac:dyDescent="0.25"/>
    <row r="301" s="53" customFormat="1" x14ac:dyDescent="0.25"/>
    <row r="302" s="53" customFormat="1" x14ac:dyDescent="0.25"/>
    <row r="303" s="53" customFormat="1" x14ac:dyDescent="0.25"/>
    <row r="304" s="53" customFormat="1" x14ac:dyDescent="0.25"/>
    <row r="305" s="53" customFormat="1" x14ac:dyDescent="0.25"/>
    <row r="306" s="53" customFormat="1" x14ac:dyDescent="0.25"/>
    <row r="307" s="53" customFormat="1" x14ac:dyDescent="0.25"/>
    <row r="308" s="53" customFormat="1" x14ac:dyDescent="0.25"/>
    <row r="309" s="53" customFormat="1" x14ac:dyDescent="0.25"/>
    <row r="310" s="53" customFormat="1" x14ac:dyDescent="0.25"/>
    <row r="311" s="53" customFormat="1" x14ac:dyDescent="0.25"/>
    <row r="312" s="53" customFormat="1" x14ac:dyDescent="0.25"/>
    <row r="313" s="53" customFormat="1" x14ac:dyDescent="0.25"/>
    <row r="314" s="53" customFormat="1" x14ac:dyDescent="0.25"/>
    <row r="315" s="53" customFormat="1" x14ac:dyDescent="0.25"/>
    <row r="316" s="53" customFormat="1" x14ac:dyDescent="0.25"/>
    <row r="317" s="53" customFormat="1" x14ac:dyDescent="0.25"/>
    <row r="318" s="53" customFormat="1" x14ac:dyDescent="0.25"/>
    <row r="319" s="53" customFormat="1" x14ac:dyDescent="0.25"/>
    <row r="320" s="53" customFormat="1" x14ac:dyDescent="0.25"/>
    <row r="321" s="53" customFormat="1" x14ac:dyDescent="0.25"/>
    <row r="322" s="53" customFormat="1" x14ac:dyDescent="0.25"/>
    <row r="323" s="53" customFormat="1" x14ac:dyDescent="0.25"/>
    <row r="324" s="53" customFormat="1" x14ac:dyDescent="0.25"/>
    <row r="325" s="53" customFormat="1" x14ac:dyDescent="0.25"/>
    <row r="326" s="53" customFormat="1" x14ac:dyDescent="0.25"/>
    <row r="327" s="53" customFormat="1" x14ac:dyDescent="0.25"/>
    <row r="328" s="53" customFormat="1" x14ac:dyDescent="0.25"/>
    <row r="329" s="53" customFormat="1" x14ac:dyDescent="0.25"/>
    <row r="330" s="53" customFormat="1" x14ac:dyDescent="0.25"/>
    <row r="331" s="53" customFormat="1" x14ac:dyDescent="0.25"/>
    <row r="332" s="53" customFormat="1" x14ac:dyDescent="0.25"/>
    <row r="333" s="53" customFormat="1" x14ac:dyDescent="0.25"/>
    <row r="334" s="53" customFormat="1" x14ac:dyDescent="0.25"/>
    <row r="335" s="53" customFormat="1" x14ac:dyDescent="0.25"/>
    <row r="336" s="53" customFormat="1" x14ac:dyDescent="0.25"/>
    <row r="337" s="53" customFormat="1" x14ac:dyDescent="0.25"/>
    <row r="338" s="53" customFormat="1" x14ac:dyDescent="0.25"/>
    <row r="339" s="53" customFormat="1" x14ac:dyDescent="0.25"/>
    <row r="340" s="53" customFormat="1" x14ac:dyDescent="0.25"/>
    <row r="341" s="53" customFormat="1" x14ac:dyDescent="0.25"/>
    <row r="342" s="53" customFormat="1" x14ac:dyDescent="0.25"/>
    <row r="343" s="53" customFormat="1" x14ac:dyDescent="0.25"/>
    <row r="344" s="53" customFormat="1" x14ac:dyDescent="0.25"/>
    <row r="345" s="53" customFormat="1" x14ac:dyDescent="0.25"/>
    <row r="346" s="53" customFormat="1" x14ac:dyDescent="0.25"/>
    <row r="347" s="53" customFormat="1" x14ac:dyDescent="0.25"/>
    <row r="348" s="53" customFormat="1" x14ac:dyDescent="0.25"/>
    <row r="349" s="53" customFormat="1" x14ac:dyDescent="0.25"/>
    <row r="350" s="53" customFormat="1" x14ac:dyDescent="0.25"/>
    <row r="351" s="53" customFormat="1" x14ac:dyDescent="0.25"/>
    <row r="352" s="53" customFormat="1" x14ac:dyDescent="0.25"/>
    <row r="353" s="53" customFormat="1" x14ac:dyDescent="0.25"/>
    <row r="354" s="53" customFormat="1" x14ac:dyDescent="0.25"/>
    <row r="355" s="53" customFormat="1" x14ac:dyDescent="0.25"/>
    <row r="356" s="53" customFormat="1" x14ac:dyDescent="0.25"/>
    <row r="357" s="53" customFormat="1" x14ac:dyDescent="0.25"/>
    <row r="358" s="53" customFormat="1" x14ac:dyDescent="0.25"/>
    <row r="359" s="53" customFormat="1" x14ac:dyDescent="0.25"/>
    <row r="360" s="53" customFormat="1" x14ac:dyDescent="0.25"/>
    <row r="361" s="53" customFormat="1" x14ac:dyDescent="0.25"/>
    <row r="362" s="53" customFormat="1" x14ac:dyDescent="0.25"/>
    <row r="363" s="53" customFormat="1" x14ac:dyDescent="0.25"/>
    <row r="364" s="53" customFormat="1" x14ac:dyDescent="0.25"/>
    <row r="365" s="53" customFormat="1" x14ac:dyDescent="0.25"/>
    <row r="366" s="53" customFormat="1" x14ac:dyDescent="0.25"/>
    <row r="367" s="53" customFormat="1" x14ac:dyDescent="0.25"/>
    <row r="368" s="53" customFormat="1" x14ac:dyDescent="0.25"/>
    <row r="369" s="53" customFormat="1" x14ac:dyDescent="0.25"/>
    <row r="370" s="53" customFormat="1" x14ac:dyDescent="0.25"/>
    <row r="371" s="53" customFormat="1" x14ac:dyDescent="0.25"/>
    <row r="372" s="53" customFormat="1" x14ac:dyDescent="0.25"/>
    <row r="373" s="53" customFormat="1" x14ac:dyDescent="0.25"/>
    <row r="374" s="53" customFormat="1" x14ac:dyDescent="0.25"/>
    <row r="375" s="53" customFormat="1" x14ac:dyDescent="0.25"/>
    <row r="376" s="53" customFormat="1" x14ac:dyDescent="0.25"/>
    <row r="377" s="53" customFormat="1" x14ac:dyDescent="0.25"/>
    <row r="378" s="53" customFormat="1" x14ac:dyDescent="0.25"/>
    <row r="379" s="53" customFormat="1" x14ac:dyDescent="0.25"/>
    <row r="380" s="53" customFormat="1" x14ac:dyDescent="0.25"/>
    <row r="381" s="53" customFormat="1" x14ac:dyDescent="0.25"/>
    <row r="382" s="53" customFormat="1" x14ac:dyDescent="0.25"/>
    <row r="383" s="53" customFormat="1" x14ac:dyDescent="0.25"/>
    <row r="384" s="53" customFormat="1" x14ac:dyDescent="0.25"/>
    <row r="385" s="53" customFormat="1" x14ac:dyDescent="0.25"/>
    <row r="386" s="53" customFormat="1" x14ac:dyDescent="0.25"/>
    <row r="387" s="53" customFormat="1" x14ac:dyDescent="0.25"/>
    <row r="388" s="53" customFormat="1" x14ac:dyDescent="0.25"/>
    <row r="389" s="53" customFormat="1" x14ac:dyDescent="0.25"/>
    <row r="390" s="53" customFormat="1" x14ac:dyDescent="0.25"/>
    <row r="391" s="53" customFormat="1" x14ac:dyDescent="0.25"/>
    <row r="392" s="53" customFormat="1" x14ac:dyDescent="0.25"/>
    <row r="393" s="53" customFormat="1" x14ac:dyDescent="0.25"/>
    <row r="394" s="53" customFormat="1" x14ac:dyDescent="0.25"/>
    <row r="395" s="53" customFormat="1" x14ac:dyDescent="0.25"/>
    <row r="396" s="53" customFormat="1" x14ac:dyDescent="0.25"/>
    <row r="397" s="53" customFormat="1" x14ac:dyDescent="0.25"/>
    <row r="398" s="53" customFormat="1" x14ac:dyDescent="0.25"/>
    <row r="399" s="53" customFormat="1" x14ac:dyDescent="0.25"/>
    <row r="400" s="53" customFormat="1" x14ac:dyDescent="0.25"/>
    <row r="401" s="53" customFormat="1" x14ac:dyDescent="0.25"/>
    <row r="402" s="53" customFormat="1" x14ac:dyDescent="0.25"/>
    <row r="403" s="53" customFormat="1" x14ac:dyDescent="0.25"/>
    <row r="404" s="53" customFormat="1" x14ac:dyDescent="0.25"/>
    <row r="405" s="53" customFormat="1" x14ac:dyDescent="0.25"/>
    <row r="406" s="53" customFormat="1" x14ac:dyDescent="0.25"/>
    <row r="407" s="53" customFormat="1" x14ac:dyDescent="0.25"/>
    <row r="408" s="53" customFormat="1" x14ac:dyDescent="0.25"/>
    <row r="409" s="53" customFormat="1" x14ac:dyDescent="0.25"/>
    <row r="410" s="53" customFormat="1" x14ac:dyDescent="0.25"/>
    <row r="411" s="53" customFormat="1" x14ac:dyDescent="0.25"/>
    <row r="412" s="53" customFormat="1" x14ac:dyDescent="0.25"/>
    <row r="413" s="53" customFormat="1" x14ac:dyDescent="0.25"/>
    <row r="414" s="53" customFormat="1" x14ac:dyDescent="0.25"/>
    <row r="415" s="53" customFormat="1" x14ac:dyDescent="0.25"/>
    <row r="416" s="53" customFormat="1" x14ac:dyDescent="0.25"/>
    <row r="417" s="53" customFormat="1" x14ac:dyDescent="0.25"/>
    <row r="418" s="53" customFormat="1" x14ac:dyDescent="0.25"/>
    <row r="419" s="53" customFormat="1" x14ac:dyDescent="0.25"/>
    <row r="420" s="53" customFormat="1" x14ac:dyDescent="0.25"/>
    <row r="421" s="53" customFormat="1" x14ac:dyDescent="0.25"/>
    <row r="422" s="53" customFormat="1" x14ac:dyDescent="0.25"/>
    <row r="423" s="53" customFormat="1" x14ac:dyDescent="0.25"/>
    <row r="424" s="53" customFormat="1" x14ac:dyDescent="0.25"/>
    <row r="425" s="53" customFormat="1" x14ac:dyDescent="0.25"/>
    <row r="426" s="53" customFormat="1" x14ac:dyDescent="0.25"/>
    <row r="427" s="53" customFormat="1" x14ac:dyDescent="0.25"/>
    <row r="428" s="53" customFormat="1" x14ac:dyDescent="0.25"/>
    <row r="429" s="53" customFormat="1" x14ac:dyDescent="0.25"/>
    <row r="430" s="53" customFormat="1" x14ac:dyDescent="0.25"/>
    <row r="431" s="53" customFormat="1" x14ac:dyDescent="0.25"/>
    <row r="432" s="53" customFormat="1" x14ac:dyDescent="0.25"/>
    <row r="433" s="53" customFormat="1" x14ac:dyDescent="0.25"/>
    <row r="434" s="53" customFormat="1" x14ac:dyDescent="0.25"/>
    <row r="435" s="53" customFormat="1" x14ac:dyDescent="0.25"/>
    <row r="436" s="53" customFormat="1" x14ac:dyDescent="0.25"/>
    <row r="437" s="53" customFormat="1" x14ac:dyDescent="0.25"/>
    <row r="438" s="53" customFormat="1" x14ac:dyDescent="0.25"/>
    <row r="439" s="53" customFormat="1" x14ac:dyDescent="0.25"/>
    <row r="440" s="53" customFormat="1" x14ac:dyDescent="0.25"/>
    <row r="441" s="53" customFormat="1" x14ac:dyDescent="0.25"/>
    <row r="442" s="53" customFormat="1" x14ac:dyDescent="0.25"/>
    <row r="443" s="53" customFormat="1" x14ac:dyDescent="0.25"/>
    <row r="444" s="53" customFormat="1" x14ac:dyDescent="0.25"/>
    <row r="445" s="53" customFormat="1" x14ac:dyDescent="0.25"/>
    <row r="446" s="53" customFormat="1" x14ac:dyDescent="0.25"/>
    <row r="447" s="53" customFormat="1" x14ac:dyDescent="0.25"/>
    <row r="448" s="53" customFormat="1" x14ac:dyDescent="0.25"/>
    <row r="449" s="53" customFormat="1" x14ac:dyDescent="0.25"/>
    <row r="450" s="53" customFormat="1" x14ac:dyDescent="0.25"/>
    <row r="451" s="53" customFormat="1" x14ac:dyDescent="0.25"/>
    <row r="452" s="53" customFormat="1" x14ac:dyDescent="0.25"/>
    <row r="453" s="53" customFormat="1" x14ac:dyDescent="0.25"/>
    <row r="454" s="53" customFormat="1" x14ac:dyDescent="0.25"/>
    <row r="455" s="53" customFormat="1" x14ac:dyDescent="0.25"/>
    <row r="456" s="53" customFormat="1" x14ac:dyDescent="0.25"/>
    <row r="457" s="53" customFormat="1" x14ac:dyDescent="0.25"/>
    <row r="458" s="53" customFormat="1" x14ac:dyDescent="0.25"/>
    <row r="459" s="53" customFormat="1" x14ac:dyDescent="0.25"/>
    <row r="460" s="53" customFormat="1" x14ac:dyDescent="0.25"/>
    <row r="461" s="53" customFormat="1" x14ac:dyDescent="0.25"/>
    <row r="462" s="53" customFormat="1" x14ac:dyDescent="0.25"/>
    <row r="463" s="53" customFormat="1" x14ac:dyDescent="0.25"/>
    <row r="464" s="53" customFormat="1" x14ac:dyDescent="0.25"/>
    <row r="465" s="53" customFormat="1" x14ac:dyDescent="0.25"/>
    <row r="466" s="53" customFormat="1" x14ac:dyDescent="0.25"/>
    <row r="467" s="53" customFormat="1" x14ac:dyDescent="0.25"/>
    <row r="468" s="53" customFormat="1" x14ac:dyDescent="0.25"/>
    <row r="469" s="53" customFormat="1" x14ac:dyDescent="0.25"/>
    <row r="470" s="53" customFormat="1" x14ac:dyDescent="0.25"/>
    <row r="471" s="53" customFormat="1" x14ac:dyDescent="0.25"/>
    <row r="472" s="53" customFormat="1" x14ac:dyDescent="0.25"/>
    <row r="473" s="53" customFormat="1" x14ac:dyDescent="0.25"/>
    <row r="474" s="53" customFormat="1" x14ac:dyDescent="0.25"/>
    <row r="475" s="53" customFormat="1" x14ac:dyDescent="0.25"/>
    <row r="476" s="53" customFormat="1" x14ac:dyDescent="0.25"/>
    <row r="477" s="53" customFormat="1" x14ac:dyDescent="0.25"/>
    <row r="478" s="53" customFormat="1" x14ac:dyDescent="0.25"/>
    <row r="479" s="53" customFormat="1" x14ac:dyDescent="0.25"/>
    <row r="480" s="53" customFormat="1" x14ac:dyDescent="0.25"/>
    <row r="481" s="53" customFormat="1" x14ac:dyDescent="0.25"/>
    <row r="482" s="53" customFormat="1" x14ac:dyDescent="0.25"/>
    <row r="483" s="53" customFormat="1" x14ac:dyDescent="0.25"/>
    <row r="484" s="53" customFormat="1" x14ac:dyDescent="0.25"/>
    <row r="485" s="53" customFormat="1" x14ac:dyDescent="0.25"/>
    <row r="486" s="53" customFormat="1" x14ac:dyDescent="0.25"/>
    <row r="487" s="53" customFormat="1" x14ac:dyDescent="0.25"/>
    <row r="488" s="53" customFormat="1" x14ac:dyDescent="0.25"/>
    <row r="489" s="53" customFormat="1" x14ac:dyDescent="0.25"/>
    <row r="490" s="53" customFormat="1" x14ac:dyDescent="0.25"/>
    <row r="491" s="53" customFormat="1" x14ac:dyDescent="0.25"/>
    <row r="492" s="53" customFormat="1" x14ac:dyDescent="0.25"/>
    <row r="493" s="53" customFormat="1" x14ac:dyDescent="0.25"/>
    <row r="494" s="53" customFormat="1" x14ac:dyDescent="0.25"/>
    <row r="495" s="53" customFormat="1" x14ac:dyDescent="0.25"/>
    <row r="496" s="53" customFormat="1" x14ac:dyDescent="0.25"/>
    <row r="497" s="53" customFormat="1" x14ac:dyDescent="0.25"/>
    <row r="498" s="53" customFormat="1" x14ac:dyDescent="0.25"/>
    <row r="499" s="53" customFormat="1" x14ac:dyDescent="0.25"/>
    <row r="500" s="53" customFormat="1" x14ac:dyDescent="0.25"/>
    <row r="501" s="53" customFormat="1" x14ac:dyDescent="0.25"/>
    <row r="502" s="53" customFormat="1" x14ac:dyDescent="0.25"/>
    <row r="503" s="53" customFormat="1" x14ac:dyDescent="0.25"/>
    <row r="504" s="53" customFormat="1" x14ac:dyDescent="0.25"/>
    <row r="505" s="53" customFormat="1" x14ac:dyDescent="0.25"/>
    <row r="506" s="53" customFormat="1" x14ac:dyDescent="0.25"/>
    <row r="507" s="53" customFormat="1" x14ac:dyDescent="0.25"/>
    <row r="508" s="53" customFormat="1" x14ac:dyDescent="0.25"/>
    <row r="509" s="53" customFormat="1" x14ac:dyDescent="0.25"/>
    <row r="510" s="53" customFormat="1" x14ac:dyDescent="0.25"/>
    <row r="511" s="53" customFormat="1" x14ac:dyDescent="0.25"/>
    <row r="512" s="53" customFormat="1" x14ac:dyDescent="0.25"/>
    <row r="513" s="53" customFormat="1" x14ac:dyDescent="0.25"/>
    <row r="514" s="53" customFormat="1" x14ac:dyDescent="0.25"/>
    <row r="515" s="53" customFormat="1" x14ac:dyDescent="0.25"/>
    <row r="516" s="53" customFormat="1" x14ac:dyDescent="0.25"/>
    <row r="517" s="53" customFormat="1" x14ac:dyDescent="0.25"/>
    <row r="518" s="53" customFormat="1" x14ac:dyDescent="0.25"/>
    <row r="519" s="53" customFormat="1" x14ac:dyDescent="0.25"/>
    <row r="520" s="53" customFormat="1" x14ac:dyDescent="0.25"/>
    <row r="521" s="53" customFormat="1" x14ac:dyDescent="0.25"/>
    <row r="522" s="53" customFormat="1" x14ac:dyDescent="0.25"/>
    <row r="523" s="53" customFormat="1" x14ac:dyDescent="0.25"/>
    <row r="524" s="53" customFormat="1" x14ac:dyDescent="0.25"/>
    <row r="525" s="53" customFormat="1" x14ac:dyDescent="0.25"/>
    <row r="526" s="53" customFormat="1" x14ac:dyDescent="0.25"/>
    <row r="527" s="53" customFormat="1" x14ac:dyDescent="0.25"/>
    <row r="528" s="53" customFormat="1" x14ac:dyDescent="0.25"/>
    <row r="529" s="53" customFormat="1" x14ac:dyDescent="0.25"/>
    <row r="530" s="53" customFormat="1" x14ac:dyDescent="0.25"/>
    <row r="531" s="53" customFormat="1" x14ac:dyDescent="0.25"/>
    <row r="532" s="53" customFormat="1" x14ac:dyDescent="0.25"/>
    <row r="533" s="53" customFormat="1" x14ac:dyDescent="0.25"/>
    <row r="534" s="53" customFormat="1" x14ac:dyDescent="0.25"/>
    <row r="535" s="53" customFormat="1" x14ac:dyDescent="0.25"/>
    <row r="536" s="53" customFormat="1" x14ac:dyDescent="0.25"/>
    <row r="537" s="53" customFormat="1" x14ac:dyDescent="0.25"/>
    <row r="538" s="53" customFormat="1" x14ac:dyDescent="0.25"/>
    <row r="539" s="53" customFormat="1" x14ac:dyDescent="0.25"/>
    <row r="540" s="53" customFormat="1" x14ac:dyDescent="0.25"/>
    <row r="541" s="53" customFormat="1" x14ac:dyDescent="0.25"/>
    <row r="542" s="53" customFormat="1" x14ac:dyDescent="0.25"/>
    <row r="543" s="53" customFormat="1" x14ac:dyDescent="0.25"/>
    <row r="544" s="53" customFormat="1" x14ac:dyDescent="0.25"/>
    <row r="545" s="53" customFormat="1" x14ac:dyDescent="0.25"/>
    <row r="546" s="53" customFormat="1" x14ac:dyDescent="0.25"/>
    <row r="547" s="53" customFormat="1" x14ac:dyDescent="0.25"/>
    <row r="548" s="53" customFormat="1" x14ac:dyDescent="0.25"/>
    <row r="549" s="53" customFormat="1" x14ac:dyDescent="0.25"/>
    <row r="550" s="53" customFormat="1" x14ac:dyDescent="0.25"/>
    <row r="551" s="53" customFormat="1" x14ac:dyDescent="0.25"/>
    <row r="552" s="53" customFormat="1" x14ac:dyDescent="0.25"/>
    <row r="553" s="53" customFormat="1" x14ac:dyDescent="0.25"/>
    <row r="554" s="53" customFormat="1" x14ac:dyDescent="0.25"/>
    <row r="555" s="53" customFormat="1" x14ac:dyDescent="0.25"/>
    <row r="556" s="53" customFormat="1" x14ac:dyDescent="0.25"/>
    <row r="557" s="53" customFormat="1" x14ac:dyDescent="0.25"/>
    <row r="558" s="53" customFormat="1" x14ac:dyDescent="0.25"/>
    <row r="559" s="53" customFormat="1" x14ac:dyDescent="0.25"/>
    <row r="560" s="53" customFormat="1" x14ac:dyDescent="0.25"/>
    <row r="561" s="53" customFormat="1" x14ac:dyDescent="0.25"/>
    <row r="562" s="53" customFormat="1" x14ac:dyDescent="0.25"/>
    <row r="563" s="53" customFormat="1" x14ac:dyDescent="0.25"/>
    <row r="564" s="53" customFormat="1" x14ac:dyDescent="0.25"/>
    <row r="565" s="53" customFormat="1" x14ac:dyDescent="0.25"/>
    <row r="566" s="53" customFormat="1" x14ac:dyDescent="0.25"/>
    <row r="567" s="53" customFormat="1" x14ac:dyDescent="0.25"/>
    <row r="568" s="53" customFormat="1" x14ac:dyDescent="0.25"/>
    <row r="569" s="53" customFormat="1" x14ac:dyDescent="0.25"/>
    <row r="570" s="53" customFormat="1" x14ac:dyDescent="0.25"/>
    <row r="571" s="53" customFormat="1" x14ac:dyDescent="0.25"/>
    <row r="572" s="53" customFormat="1" x14ac:dyDescent="0.25"/>
    <row r="573" s="53" customFormat="1" x14ac:dyDescent="0.25"/>
    <row r="574" s="53" customFormat="1" x14ac:dyDescent="0.25"/>
    <row r="575" s="53" customFormat="1" x14ac:dyDescent="0.25"/>
    <row r="576" s="53" customFormat="1" x14ac:dyDescent="0.25"/>
    <row r="577" s="53" customFormat="1" x14ac:dyDescent="0.25"/>
    <row r="578" s="53" customFormat="1" x14ac:dyDescent="0.25"/>
    <row r="579" s="53" customFormat="1" x14ac:dyDescent="0.25"/>
    <row r="580" s="53" customFormat="1" x14ac:dyDescent="0.25"/>
    <row r="581" s="53" customFormat="1" x14ac:dyDescent="0.25"/>
    <row r="582" s="53" customFormat="1" x14ac:dyDescent="0.25"/>
    <row r="583" s="53" customFormat="1" x14ac:dyDescent="0.25"/>
    <row r="584" s="53" customFormat="1" x14ac:dyDescent="0.25"/>
    <row r="585" s="53" customFormat="1" x14ac:dyDescent="0.25"/>
    <row r="586" s="53" customFormat="1" x14ac:dyDescent="0.25"/>
    <row r="587" s="53" customFormat="1" x14ac:dyDescent="0.25"/>
    <row r="588" s="53" customFormat="1" x14ac:dyDescent="0.25"/>
    <row r="589" s="53" customFormat="1" x14ac:dyDescent="0.25"/>
    <row r="590" s="53" customFormat="1" x14ac:dyDescent="0.25"/>
    <row r="591" s="53" customFormat="1" x14ac:dyDescent="0.25"/>
    <row r="592" s="53" customFormat="1" x14ac:dyDescent="0.25"/>
    <row r="593" s="53" customFormat="1" x14ac:dyDescent="0.25"/>
    <row r="594" s="53" customFormat="1" x14ac:dyDescent="0.25"/>
    <row r="595" s="53" customFormat="1" x14ac:dyDescent="0.25"/>
    <row r="596" s="53" customFormat="1" x14ac:dyDescent="0.25"/>
    <row r="597" s="53" customFormat="1" x14ac:dyDescent="0.25"/>
    <row r="598" s="53" customFormat="1" x14ac:dyDescent="0.25"/>
    <row r="599" s="53" customFormat="1" x14ac:dyDescent="0.25"/>
    <row r="600" s="53" customFormat="1" x14ac:dyDescent="0.25"/>
    <row r="601" s="53" customFormat="1" x14ac:dyDescent="0.25"/>
  </sheetData>
  <mergeCells count="57">
    <mergeCell ref="N109:P109"/>
    <mergeCell ref="N28:P28"/>
    <mergeCell ref="B105:K105"/>
    <mergeCell ref="C106:K106"/>
    <mergeCell ref="B23:K23"/>
    <mergeCell ref="C24:K24"/>
    <mergeCell ref="C63:K63"/>
    <mergeCell ref="B64:K64"/>
    <mergeCell ref="C65:K65"/>
    <mergeCell ref="C104:K104"/>
    <mergeCell ref="N29:P29"/>
    <mergeCell ref="N30:P30"/>
    <mergeCell ref="N80:P80"/>
    <mergeCell ref="N107:P107"/>
    <mergeCell ref="N108:P108"/>
    <mergeCell ref="C22:K22"/>
    <mergeCell ref="E1:G1"/>
    <mergeCell ref="E2:G2"/>
    <mergeCell ref="I2:K2"/>
    <mergeCell ref="H12:K16"/>
    <mergeCell ref="H17:K20"/>
    <mergeCell ref="U62:V62"/>
    <mergeCell ref="N24:P24"/>
    <mergeCell ref="N25:P25"/>
    <mergeCell ref="N26:P26"/>
    <mergeCell ref="N27:P27"/>
    <mergeCell ref="N59:X60"/>
    <mergeCell ref="Y69:AA69"/>
    <mergeCell ref="Y68:AA68"/>
    <mergeCell ref="U63:V63"/>
    <mergeCell ref="U64:V64"/>
    <mergeCell ref="U65:V65"/>
    <mergeCell ref="U70:V70"/>
    <mergeCell ref="U71:V71"/>
    <mergeCell ref="U66:V66"/>
    <mergeCell ref="U69:V69"/>
    <mergeCell ref="N106:P106"/>
    <mergeCell ref="N81:P81"/>
    <mergeCell ref="N82:P82"/>
    <mergeCell ref="N83:P83"/>
    <mergeCell ref="N84:P84"/>
    <mergeCell ref="N110:P110"/>
    <mergeCell ref="N23:P23"/>
    <mergeCell ref="N61:R61"/>
    <mergeCell ref="U61:V61"/>
    <mergeCell ref="N62:O62"/>
    <mergeCell ref="Q62:R62"/>
    <mergeCell ref="U67:W67"/>
    <mergeCell ref="U68:V68"/>
    <mergeCell ref="V72:W72"/>
    <mergeCell ref="U73:V73"/>
    <mergeCell ref="U74:V75"/>
    <mergeCell ref="W74:W75"/>
    <mergeCell ref="U76:V76"/>
    <mergeCell ref="N79:P79"/>
    <mergeCell ref="N104:P104"/>
    <mergeCell ref="N105:P105"/>
  </mergeCells>
  <dataValidations disablePrompts="1" count="2">
    <dataValidation type="list" allowBlank="1" showInputMessage="1" showErrorMessage="1" sqref="W74:W75" xr:uid="{00000000-0002-0000-0400-000000000000}">
      <formula1>"Yes, No"</formula1>
    </dataValidation>
    <dataValidation type="list" allowBlank="1" showInputMessage="1" showErrorMessage="1" sqref="W73" xr:uid="{00000000-0002-0000-0400-000001000000}">
      <formula1>"2x8, 2x10"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2000000}">
          <x14:formula1>
            <xm:f>'Design Loads'!$C$31:$K$31</xm:f>
          </x14:formula1>
          <xm:sqref>Q74 W65</xm:sqref>
        </x14:dataValidation>
        <x14:dataValidation type="list" allowBlank="1" showInputMessage="1" showErrorMessage="1" xr:uid="{00000000-0002-0000-0400-000003000000}">
          <x14:formula1>
            <xm:f>'Design Loads'!$C$65:$K$65</xm:f>
          </x14:formula1>
          <xm:sqref>W66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6FC11709F62A469EB75D150408A959" ma:contentTypeVersion="18" ma:contentTypeDescription="Create a new document." ma:contentTypeScope="" ma:versionID="465a136da0c40ddc603cc4324917d37f">
  <xsd:schema xmlns:xsd="http://www.w3.org/2001/XMLSchema" xmlns:xs="http://www.w3.org/2001/XMLSchema" xmlns:p="http://schemas.microsoft.com/office/2006/metadata/properties" xmlns:ns2="cb41287e-4b74-43f4-86b7-cc1689627ba9" xmlns:ns3="45870795-ee48-4cbb-865c-4616e7efd004" targetNamespace="http://schemas.microsoft.com/office/2006/metadata/properties" ma:root="true" ma:fieldsID="d67cd14c62275cabd4861683b124b00e" ns2:_="" ns3:_="">
    <xsd:import namespace="cb41287e-4b74-43f4-86b7-cc1689627ba9"/>
    <xsd:import namespace="45870795-ee48-4cbb-865c-4616e7efd0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2: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41287e-4b74-43f4-86b7-cc1689627ba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73a00f3-b95e-4b24-986b-24c5ed6f651b}" ma:internalName="TaxCatchAll" ma:showField="CatchAllData" ma:web="cb41287e-4b74-43f4-86b7-cc1689627ba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870795-ee48-4cbb-865c-4616e7efd0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d160fc7-aa7b-49ff-9750-1c989330c40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5870795-ee48-4cbb-865c-4616e7efd004">
      <Terms xmlns="http://schemas.microsoft.com/office/infopath/2007/PartnerControls"/>
    </lcf76f155ced4ddcb4097134ff3c332f>
    <TaxCatchAll xmlns="cb41287e-4b74-43f4-86b7-cc1689627ba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8FB550-8E6C-4BC8-A5E1-2E20761B4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41287e-4b74-43f4-86b7-cc1689627ba9"/>
    <ds:schemaRef ds:uri="45870795-ee48-4cbb-865c-4616e7efd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495D56-4D47-4EE0-86E8-A456663F142B}">
  <ds:schemaRefs>
    <ds:schemaRef ds:uri="http://www.w3.org/XML/1998/namespace"/>
    <ds:schemaRef ds:uri="http://purl.org/dc/dcmitype/"/>
    <ds:schemaRef ds:uri="http://purl.org/dc/elements/1.1/"/>
    <ds:schemaRef ds:uri="http://purl.org/dc/terms/"/>
    <ds:schemaRef ds:uri="cb41287e-4b74-43f4-86b7-cc1689627ba9"/>
    <ds:schemaRef ds:uri="45870795-ee48-4cbb-865c-4616e7efd004"/>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1DDC2F5E-1156-4AC1-8A8E-AF430A8A77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Span Table </vt:lpstr>
      <vt:lpstr>Design Loads</vt:lpstr>
      <vt:lpstr>Blade</vt:lpstr>
      <vt:lpstr>2" x 8" Beams</vt:lpstr>
      <vt:lpstr>2" x 10" Beams</vt:lpstr>
      <vt:lpstr>DL</vt:lpstr>
      <vt:lpstr>LL</vt:lpstr>
      <vt:lpstr>Blade!Print_Area</vt:lpstr>
      <vt:lpstr>'Design Loads'!Print_Area</vt:lpstr>
      <vt:lpstr>'Span Table '!Print_Area</vt:lpstr>
      <vt:lpstr>SL</vt:lpstr>
      <vt:lpstr>TextBox1</vt:lpstr>
      <vt:lpstr>TextBox2</vt:lpstr>
      <vt:lpstr>WL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Marchi</dc:creator>
  <cp:keywords/>
  <dc:description/>
  <cp:lastModifiedBy>Valerie Gilzean</cp:lastModifiedBy>
  <cp:revision/>
  <cp:lastPrinted>2022-07-27T20:02:21Z</cp:lastPrinted>
  <dcterms:created xsi:type="dcterms:W3CDTF">2015-07-28T13:04:28Z</dcterms:created>
  <dcterms:modified xsi:type="dcterms:W3CDTF">2022-07-29T15:04:43Z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0x0101008E6FC11709F62A469EB75D150408A959</vt:lpwstr>
  </property>
  <property fmtid="{D5CDD505-2E9C-101B-9397-08002B2CF9AE}" pid="3" name="MediaServiceImageTags">
    <vt:lpwstr/>
  </property>
</Properties>
</file>